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41D87A96-012A-4F90-9B43-AA77F8B3D5F3}" xr6:coauthVersionLast="47" xr6:coauthVersionMax="47" xr10:uidLastSave="{00000000-0000-0000-0000-000000000000}"/>
  <bookViews>
    <workbookView xWindow="-110" yWindow="-110" windowWidth="19420" windowHeight="10300" tabRatio="87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3">เพชรบุรี!$A$1:$P$828</definedName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</workbook>
</file>

<file path=xl/calcChain.xml><?xml version="1.0" encoding="utf-8"?>
<calcChain xmlns="http://schemas.openxmlformats.org/spreadsheetml/2006/main">
  <c r="I824" i="20" l="1"/>
  <c r="I823" i="20"/>
  <c r="I824" i="5"/>
  <c r="I823" i="5"/>
  <c r="J828" i="22" l="1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7" i="22" s="1"/>
  <c r="N805" i="22" s="1"/>
  <c r="P809" i="22"/>
  <c r="O809" i="22"/>
  <c r="P808" i="22"/>
  <c r="O808" i="22"/>
  <c r="N808" i="22"/>
  <c r="M808" i="22"/>
  <c r="L808" i="22"/>
  <c r="M807" i="22"/>
  <c r="L807" i="22"/>
  <c r="O807" i="22" s="1"/>
  <c r="P806" i="22"/>
  <c r="N806" i="22"/>
  <c r="M806" i="22"/>
  <c r="L806" i="22"/>
  <c r="O806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O796" i="22"/>
  <c r="N796" i="22"/>
  <c r="M796" i="22"/>
  <c r="P796" i="22" s="1"/>
  <c r="L796" i="22"/>
  <c r="P791" i="22"/>
  <c r="N791" i="22"/>
  <c r="L791" i="22"/>
  <c r="L788" i="22" s="1"/>
  <c r="O788" i="22" s="1"/>
  <c r="P790" i="22"/>
  <c r="O790" i="22"/>
  <c r="P789" i="22"/>
  <c r="N789" i="22"/>
  <c r="M789" i="22"/>
  <c r="N788" i="22"/>
  <c r="M788" i="22"/>
  <c r="M786" i="22" s="1"/>
  <c r="P786" i="22" s="1"/>
  <c r="P787" i="22"/>
  <c r="N787" i="22"/>
  <c r="N786" i="22" s="1"/>
  <c r="M787" i="22"/>
  <c r="L787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N772" i="22" s="1"/>
  <c r="N770" i="22" s="1"/>
  <c r="P774" i="22"/>
  <c r="O774" i="22"/>
  <c r="O773" i="22"/>
  <c r="N773" i="22"/>
  <c r="M773" i="22"/>
  <c r="P773" i="22" s="1"/>
  <c r="L773" i="22"/>
  <c r="P772" i="22"/>
  <c r="M772" i="22"/>
  <c r="L772" i="22"/>
  <c r="P771" i="22"/>
  <c r="O771" i="22"/>
  <c r="N771" i="22"/>
  <c r="M771" i="22"/>
  <c r="L771" i="22"/>
  <c r="M770" i="22"/>
  <c r="P770" i="22" s="1"/>
  <c r="K769" i="22"/>
  <c r="J769" i="22"/>
  <c r="P766" i="22"/>
  <c r="O766" i="22"/>
  <c r="P765" i="22"/>
  <c r="O765" i="22"/>
  <c r="P764" i="22"/>
  <c r="O764" i="22"/>
  <c r="N764" i="22"/>
  <c r="M764" i="22"/>
  <c r="L764" i="22"/>
  <c r="P759" i="22"/>
  <c r="O759" i="22"/>
  <c r="N759" i="22"/>
  <c r="P758" i="22"/>
  <c r="O758" i="22"/>
  <c r="O757" i="22"/>
  <c r="M757" i="22"/>
  <c r="P757" i="22" s="1"/>
  <c r="L757" i="22"/>
  <c r="P756" i="22"/>
  <c r="O756" i="22"/>
  <c r="M756" i="22"/>
  <c r="L756" i="22"/>
  <c r="N755" i="22"/>
  <c r="M755" i="22"/>
  <c r="L755" i="22"/>
  <c r="O755" i="22" s="1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N739" i="22" s="1"/>
  <c r="N737" i="22" s="1"/>
  <c r="P741" i="22"/>
  <c r="O741" i="22"/>
  <c r="O740" i="22"/>
  <c r="N740" i="22"/>
  <c r="M740" i="22"/>
  <c r="P740" i="22" s="1"/>
  <c r="L740" i="22"/>
  <c r="P739" i="22"/>
  <c r="M739" i="22"/>
  <c r="L739" i="22"/>
  <c r="P738" i="22"/>
  <c r="O738" i="22"/>
  <c r="N738" i="22"/>
  <c r="M738" i="22"/>
  <c r="L738" i="22"/>
  <c r="M737" i="22"/>
  <c r="P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O695" i="22"/>
  <c r="N695" i="22"/>
  <c r="M695" i="22"/>
  <c r="P695" i="22" s="1"/>
  <c r="L695" i="22"/>
  <c r="N690" i="22"/>
  <c r="N688" i="22" s="1"/>
  <c r="L690" i="22"/>
  <c r="M690" i="22" s="1"/>
  <c r="M687" i="22" s="1"/>
  <c r="P687" i="22" s="1"/>
  <c r="N687" i="22"/>
  <c r="O686" i="22"/>
  <c r="N686" i="22"/>
  <c r="N685" i="22" s="1"/>
  <c r="M686" i="22"/>
  <c r="P686" i="22" s="1"/>
  <c r="L686" i="22"/>
  <c r="J679" i="22"/>
  <c r="J678" i="22" s="1"/>
  <c r="I678" i="22"/>
  <c r="K678" i="22" s="1"/>
  <c r="J675" i="22"/>
  <c r="J669" i="22" s="1"/>
  <c r="J654" i="22" s="1"/>
  <c r="I671" i="22"/>
  <c r="K671" i="22" s="1"/>
  <c r="I670" i="22"/>
  <c r="K670" i="22" s="1"/>
  <c r="I669" i="22"/>
  <c r="K673" i="22" s="1"/>
  <c r="P667" i="22"/>
  <c r="O667" i="22"/>
  <c r="P666" i="22"/>
  <c r="O666" i="22"/>
  <c r="N665" i="22"/>
  <c r="M665" i="22"/>
  <c r="P665" i="22" s="1"/>
  <c r="L665" i="22"/>
  <c r="O665" i="22" s="1"/>
  <c r="N664" i="22"/>
  <c r="N660" i="22" s="1"/>
  <c r="L660" i="22"/>
  <c r="L658" i="22" s="1"/>
  <c r="P659" i="22"/>
  <c r="O659" i="22"/>
  <c r="P656" i="22"/>
  <c r="N656" i="22"/>
  <c r="M656" i="22"/>
  <c r="L656" i="22"/>
  <c r="K652" i="22"/>
  <c r="J652" i="22"/>
  <c r="J651" i="22"/>
  <c r="J628" i="22" s="1"/>
  <c r="I651" i="22"/>
  <c r="I628" i="22" s="1"/>
  <c r="K628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L639" i="22" s="1"/>
  <c r="O639" i="22" s="1"/>
  <c r="P640" i="22"/>
  <c r="O640" i="22"/>
  <c r="N639" i="22"/>
  <c r="M639" i="22"/>
  <c r="P639" i="22" s="1"/>
  <c r="P634" i="22"/>
  <c r="N634" i="22"/>
  <c r="N632" i="22" s="1"/>
  <c r="L634" i="22"/>
  <c r="O634" i="22" s="1"/>
  <c r="P633" i="22"/>
  <c r="O633" i="22"/>
  <c r="P632" i="22"/>
  <c r="M632" i="22"/>
  <c r="M631" i="22"/>
  <c r="P630" i="22"/>
  <c r="N630" i="22"/>
  <c r="M630" i="22"/>
  <c r="L630" i="22"/>
  <c r="O630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2" i="22" s="1"/>
  <c r="J594" i="22"/>
  <c r="I594" i="22"/>
  <c r="K594" i="22" s="1"/>
  <c r="I593" i="22"/>
  <c r="J583" i="22"/>
  <c r="J577" i="22" s="1"/>
  <c r="J582" i="22"/>
  <c r="J576" i="22" s="1"/>
  <c r="J559" i="22" s="1"/>
  <c r="J543" i="22" s="1"/>
  <c r="I577" i="22"/>
  <c r="K577" i="22" s="1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L555" i="22" s="1"/>
  <c r="O555" i="22" s="1"/>
  <c r="P556" i="22"/>
  <c r="O556" i="22"/>
  <c r="P555" i="22"/>
  <c r="N555" i="22"/>
  <c r="M555" i="22"/>
  <c r="N549" i="22"/>
  <c r="N546" i="22" s="1"/>
  <c r="N544" i="22" s="1"/>
  <c r="L549" i="22"/>
  <c r="M549" i="22" s="1"/>
  <c r="P548" i="22"/>
  <c r="O548" i="22"/>
  <c r="N547" i="22"/>
  <c r="P545" i="22"/>
  <c r="N545" i="22"/>
  <c r="M545" i="22"/>
  <c r="L545" i="22"/>
  <c r="O545" i="22" s="1"/>
  <c r="I542" i="22"/>
  <c r="K542" i="22" s="1"/>
  <c r="I541" i="22"/>
  <c r="K541" i="22" s="1"/>
  <c r="I540" i="22"/>
  <c r="K540" i="22" s="1"/>
  <c r="I539" i="22"/>
  <c r="K539" i="22" s="1"/>
  <c r="I538" i="22"/>
  <c r="I537" i="22"/>
  <c r="I522" i="22" s="1"/>
  <c r="K522" i="22" s="1"/>
  <c r="P535" i="22"/>
  <c r="L535" i="22"/>
  <c r="O535" i="22" s="1"/>
  <c r="P534" i="22"/>
  <c r="O534" i="22"/>
  <c r="P533" i="22"/>
  <c r="N533" i="22"/>
  <c r="M533" i="22"/>
  <c r="P528" i="22"/>
  <c r="N528" i="22"/>
  <c r="L528" i="22"/>
  <c r="L525" i="22" s="1"/>
  <c r="O525" i="22" s="1"/>
  <c r="P527" i="22"/>
  <c r="O527" i="22"/>
  <c r="P526" i="22"/>
  <c r="M526" i="22"/>
  <c r="P525" i="22"/>
  <c r="M525" i="22"/>
  <c r="N524" i="22"/>
  <c r="M524" i="22"/>
  <c r="P524" i="22" s="1"/>
  <c r="L524" i="22"/>
  <c r="O524" i="22" s="1"/>
  <c r="K517" i="22"/>
  <c r="J517" i="22"/>
  <c r="K516" i="22"/>
  <c r="P514" i="22"/>
  <c r="O514" i="22"/>
  <c r="P513" i="22"/>
  <c r="O513" i="22"/>
  <c r="P512" i="22"/>
  <c r="N512" i="22"/>
  <c r="M512" i="22"/>
  <c r="L512" i="22"/>
  <c r="O512" i="22" s="1"/>
  <c r="P507" i="22"/>
  <c r="O507" i="22"/>
  <c r="N507" i="22"/>
  <c r="N504" i="22" s="1"/>
  <c r="P506" i="22"/>
  <c r="O506" i="22"/>
  <c r="P505" i="22"/>
  <c r="M505" i="22"/>
  <c r="L505" i="22"/>
  <c r="O505" i="22" s="1"/>
  <c r="P504" i="22"/>
  <c r="O504" i="22"/>
  <c r="M504" i="22"/>
  <c r="L504" i="22"/>
  <c r="N503" i="22"/>
  <c r="N502" i="22" s="1"/>
  <c r="M503" i="22"/>
  <c r="P503" i="22" s="1"/>
  <c r="L503" i="22"/>
  <c r="O503" i="22" s="1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P472" i="22"/>
  <c r="N472" i="22"/>
  <c r="L472" i="22"/>
  <c r="O472" i="22" s="1"/>
  <c r="P471" i="22"/>
  <c r="O471" i="22"/>
  <c r="P470" i="22"/>
  <c r="N470" i="22"/>
  <c r="M470" i="22"/>
  <c r="N469" i="22"/>
  <c r="M469" i="22"/>
  <c r="P469" i="22" s="1"/>
  <c r="P468" i="22"/>
  <c r="N468" i="22"/>
  <c r="M468" i="22"/>
  <c r="L468" i="22"/>
  <c r="P467" i="22"/>
  <c r="M467" i="22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P455" i="22"/>
  <c r="O455" i="22"/>
  <c r="P454" i="22"/>
  <c r="N454" i="22"/>
  <c r="M454" i="22"/>
  <c r="N453" i="22"/>
  <c r="N451" i="22"/>
  <c r="N450" i="22"/>
  <c r="N449" i="22"/>
  <c r="N446" i="22" s="1"/>
  <c r="L449" i="22"/>
  <c r="P448" i="22"/>
  <c r="O448" i="22"/>
  <c r="N447" i="22"/>
  <c r="O445" i="22"/>
  <c r="N445" i="22"/>
  <c r="M445" i="22"/>
  <c r="P445" i="22" s="1"/>
  <c r="L445" i="22"/>
  <c r="N444" i="22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J434" i="22"/>
  <c r="J418" i="22" s="1"/>
  <c r="P431" i="22"/>
  <c r="L431" i="22"/>
  <c r="L429" i="22" s="1"/>
  <c r="O429" i="22" s="1"/>
  <c r="P430" i="22"/>
  <c r="O430" i="22"/>
  <c r="P429" i="22"/>
  <c r="N429" i="22"/>
  <c r="M429" i="22"/>
  <c r="N428" i="22"/>
  <c r="N425" i="22"/>
  <c r="N424" i="22"/>
  <c r="N421" i="22" s="1"/>
  <c r="L424" i="22"/>
  <c r="P423" i="22"/>
  <c r="O423" i="22"/>
  <c r="P420" i="22"/>
  <c r="O420" i="22"/>
  <c r="N420" i="22"/>
  <c r="M420" i="22"/>
  <c r="L420" i="22"/>
  <c r="K413" i="22"/>
  <c r="K412" i="22"/>
  <c r="N410" i="22"/>
  <c r="M410" i="22"/>
  <c r="P410" i="22" s="1"/>
  <c r="L410" i="22"/>
  <c r="L408" i="22" s="1"/>
  <c r="O408" i="22" s="1"/>
  <c r="P409" i="22"/>
  <c r="O409" i="22"/>
  <c r="N407" i="22"/>
  <c r="N405" i="22" s="1"/>
  <c r="M407" i="22"/>
  <c r="L407" i="22"/>
  <c r="L405" i="22" s="1"/>
  <c r="O405" i="22" s="1"/>
  <c r="P406" i="22"/>
  <c r="O406" i="22"/>
  <c r="P403" i="22"/>
  <c r="N403" i="22"/>
  <c r="M403" i="22"/>
  <c r="L403" i="22"/>
  <c r="K401" i="22"/>
  <c r="J401" i="22"/>
  <c r="I401" i="22"/>
  <c r="K400" i="22"/>
  <c r="K399" i="22"/>
  <c r="N397" i="22"/>
  <c r="N395" i="22" s="1"/>
  <c r="M397" i="22"/>
  <c r="L397" i="22"/>
  <c r="O397" i="22" s="1"/>
  <c r="P396" i="22"/>
  <c r="O396" i="22"/>
  <c r="N394" i="22"/>
  <c r="M394" i="22"/>
  <c r="P394" i="22" s="1"/>
  <c r="L394" i="22"/>
  <c r="P393" i="22"/>
  <c r="O393" i="22"/>
  <c r="P390" i="22"/>
  <c r="O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L353" i="22"/>
  <c r="L351" i="22" s="1"/>
  <c r="P352" i="22"/>
  <c r="O352" i="22"/>
  <c r="N350" i="22"/>
  <c r="N348" i="22" s="1"/>
  <c r="M350" i="22"/>
  <c r="L350" i="22"/>
  <c r="P349" i="22"/>
  <c r="O349" i="22"/>
  <c r="P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N331" i="22" s="1"/>
  <c r="M333" i="22"/>
  <c r="L333" i="22"/>
  <c r="L331" i="22" s="1"/>
  <c r="P332" i="22"/>
  <c r="O332" i="22"/>
  <c r="N329" i="22"/>
  <c r="M329" i="22"/>
  <c r="P329" i="22" s="1"/>
  <c r="L329" i="22"/>
  <c r="I327" i="22"/>
  <c r="I325" i="22"/>
  <c r="N323" i="22"/>
  <c r="N321" i="22" s="1"/>
  <c r="M323" i="22"/>
  <c r="L323" i="22"/>
  <c r="P322" i="22"/>
  <c r="O322" i="22"/>
  <c r="N320" i="22"/>
  <c r="M320" i="22"/>
  <c r="M318" i="22" s="1"/>
  <c r="P318" i="22" s="1"/>
  <c r="L320" i="22"/>
  <c r="O320" i="22" s="1"/>
  <c r="P319" i="22"/>
  <c r="O319" i="22"/>
  <c r="P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N306" i="22"/>
  <c r="M306" i="22"/>
  <c r="P306" i="22" s="1"/>
  <c r="L306" i="22"/>
  <c r="L304" i="22" s="1"/>
  <c r="O304" i="22" s="1"/>
  <c r="P305" i="22"/>
  <c r="O305" i="22"/>
  <c r="N303" i="22"/>
  <c r="N301" i="22" s="1"/>
  <c r="M303" i="22"/>
  <c r="L303" i="22"/>
  <c r="L301" i="22" s="1"/>
  <c r="O301" i="22" s="1"/>
  <c r="P302" i="22"/>
  <c r="O302" i="22"/>
  <c r="P299" i="22"/>
  <c r="N299" i="22"/>
  <c r="M299" i="22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K287" i="22" s="1"/>
  <c r="N285" i="22"/>
  <c r="N283" i="22" s="1"/>
  <c r="M285" i="22"/>
  <c r="P285" i="22" s="1"/>
  <c r="L285" i="22"/>
  <c r="O285" i="22" s="1"/>
  <c r="P284" i="22"/>
  <c r="O284" i="22"/>
  <c r="N282" i="22"/>
  <c r="N280" i="22" s="1"/>
  <c r="M282" i="22"/>
  <c r="M280" i="22" s="1"/>
  <c r="P280" i="22" s="1"/>
  <c r="L282" i="22"/>
  <c r="P281" i="22"/>
  <c r="O281" i="22"/>
  <c r="O278" i="22"/>
  <c r="N278" i="22"/>
  <c r="M278" i="22"/>
  <c r="L278" i="22"/>
  <c r="J276" i="22"/>
  <c r="I276" i="22"/>
  <c r="K276" i="22" s="1"/>
  <c r="I271" i="22"/>
  <c r="N269" i="22"/>
  <c r="N267" i="22" s="1"/>
  <c r="M269" i="22"/>
  <c r="L269" i="22"/>
  <c r="P268" i="22"/>
  <c r="O268" i="22"/>
  <c r="N266" i="22"/>
  <c r="M266" i="22"/>
  <c r="M264" i="22" s="1"/>
  <c r="L266" i="22"/>
  <c r="L264" i="22" s="1"/>
  <c r="P265" i="22"/>
  <c r="O265" i="22"/>
  <c r="P262" i="22"/>
  <c r="N262" i="22"/>
  <c r="M262" i="22"/>
  <c r="L262" i="22"/>
  <c r="J260" i="22"/>
  <c r="K258" i="22"/>
  <c r="K257" i="22"/>
  <c r="I255" i="22"/>
  <c r="I248" i="22" s="1"/>
  <c r="K248" i="22" s="1"/>
  <c r="L253" i="22"/>
  <c r="L252" i="22"/>
  <c r="L251" i="22"/>
  <c r="L250" i="22"/>
  <c r="P249" i="22"/>
  <c r="N249" i="22"/>
  <c r="J248" i="22"/>
  <c r="J226" i="22" s="1"/>
  <c r="J180" i="22" s="1"/>
  <c r="K247" i="22"/>
  <c r="K246" i="22"/>
  <c r="I244" i="22"/>
  <c r="L242" i="22"/>
  <c r="L241" i="22"/>
  <c r="L240" i="22"/>
  <c r="L239" i="22"/>
  <c r="P238" i="22"/>
  <c r="N238" i="22"/>
  <c r="N227" i="22" s="1"/>
  <c r="J237" i="22"/>
  <c r="I237" i="22"/>
  <c r="K237" i="22" s="1"/>
  <c r="J236" i="22"/>
  <c r="I236" i="22"/>
  <c r="K236" i="22" s="1"/>
  <c r="K235" i="22"/>
  <c r="J235" i="22"/>
  <c r="I235" i="22"/>
  <c r="J233" i="22"/>
  <c r="N231" i="22"/>
  <c r="N230" i="22"/>
  <c r="N229" i="22"/>
  <c r="N228" i="22"/>
  <c r="I225" i="22"/>
  <c r="K225" i="22" s="1"/>
  <c r="I224" i="22"/>
  <c r="K224" i="22" s="1"/>
  <c r="I223" i="22"/>
  <c r="K223" i="22" s="1"/>
  <c r="L220" i="22"/>
  <c r="L219" i="22"/>
  <c r="N218" i="22"/>
  <c r="N217" i="22" s="1"/>
  <c r="L218" i="22"/>
  <c r="P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I190" i="22" s="1"/>
  <c r="K190" i="22" s="1"/>
  <c r="P191" i="22"/>
  <c r="L191" i="22"/>
  <c r="O191" i="22" s="1"/>
  <c r="J190" i="22"/>
  <c r="N189" i="22"/>
  <c r="N187" i="22" s="1"/>
  <c r="M189" i="22"/>
  <c r="M187" i="22" s="1"/>
  <c r="P187" i="22" s="1"/>
  <c r="L189" i="22"/>
  <c r="O189" i="22" s="1"/>
  <c r="P188" i="22"/>
  <c r="O188" i="22"/>
  <c r="N186" i="22"/>
  <c r="N184" i="22" s="1"/>
  <c r="M186" i="22"/>
  <c r="M184" i="22" s="1"/>
  <c r="L186" i="22"/>
  <c r="P185" i="22"/>
  <c r="O185" i="22"/>
  <c r="N182" i="22"/>
  <c r="M182" i="22"/>
  <c r="P182" i="22" s="1"/>
  <c r="L182" i="22"/>
  <c r="J177" i="22"/>
  <c r="I176" i="22"/>
  <c r="I174" i="22" s="1"/>
  <c r="J174" i="22"/>
  <c r="N173" i="22"/>
  <c r="N171" i="22" s="1"/>
  <c r="M173" i="22"/>
  <c r="M171" i="22" s="1"/>
  <c r="P171" i="22" s="1"/>
  <c r="L173" i="22"/>
  <c r="O173" i="22" s="1"/>
  <c r="P172" i="22"/>
  <c r="O172" i="22"/>
  <c r="N170" i="22"/>
  <c r="N168" i="22" s="1"/>
  <c r="M170" i="22"/>
  <c r="M168" i="22" s="1"/>
  <c r="P168" i="22" s="1"/>
  <c r="L170" i="22"/>
  <c r="L168" i="22" s="1"/>
  <c r="O168" i="22" s="1"/>
  <c r="P169" i="22"/>
  <c r="O169" i="22"/>
  <c r="P166" i="22"/>
  <c r="N166" i="22"/>
  <c r="M166" i="22"/>
  <c r="L166" i="22"/>
  <c r="J164" i="22"/>
  <c r="I159" i="22"/>
  <c r="K159" i="22" s="1"/>
  <c r="N157" i="22"/>
  <c r="N155" i="22" s="1"/>
  <c r="M157" i="22"/>
  <c r="M155" i="22" s="1"/>
  <c r="P155" i="22" s="1"/>
  <c r="L157" i="22"/>
  <c r="O157" i="22" s="1"/>
  <c r="P156" i="22"/>
  <c r="O156" i="22"/>
  <c r="N154" i="22"/>
  <c r="M154" i="22"/>
  <c r="M152" i="22" s="1"/>
  <c r="P152" i="22" s="1"/>
  <c r="L154" i="22"/>
  <c r="O154" i="22" s="1"/>
  <c r="P153" i="22"/>
  <c r="O153" i="22"/>
  <c r="N150" i="22"/>
  <c r="M150" i="22"/>
  <c r="L150" i="22"/>
  <c r="J148" i="22"/>
  <c r="I146" i="22"/>
  <c r="K146" i="22" s="1"/>
  <c r="I145" i="22"/>
  <c r="I143" i="22" s="1"/>
  <c r="I131" i="22" s="1"/>
  <c r="K131" i="22" s="1"/>
  <c r="I144" i="22"/>
  <c r="K144" i="22" s="1"/>
  <c r="N140" i="22"/>
  <c r="M140" i="22"/>
  <c r="M138" i="22" s="1"/>
  <c r="P138" i="22" s="1"/>
  <c r="L140" i="22"/>
  <c r="L138" i="22" s="1"/>
  <c r="O138" i="22" s="1"/>
  <c r="P139" i="22"/>
  <c r="O139" i="22"/>
  <c r="N137" i="22"/>
  <c r="N135" i="22" s="1"/>
  <c r="M137" i="22"/>
  <c r="M135" i="22" s="1"/>
  <c r="P135" i="22" s="1"/>
  <c r="L137" i="22"/>
  <c r="L135" i="22" s="1"/>
  <c r="O135" i="22" s="1"/>
  <c r="P136" i="22"/>
  <c r="O136" i="22"/>
  <c r="O133" i="22"/>
  <c r="N133" i="22"/>
  <c r="M133" i="22"/>
  <c r="P133" i="22" s="1"/>
  <c r="L133" i="22"/>
  <c r="J130" i="22"/>
  <c r="N127" i="22"/>
  <c r="N125" i="22" s="1"/>
  <c r="M127" i="22"/>
  <c r="M125" i="22" s="1"/>
  <c r="P125" i="22" s="1"/>
  <c r="L127" i="22"/>
  <c r="L125" i="22" s="1"/>
  <c r="O125" i="22" s="1"/>
  <c r="P126" i="22"/>
  <c r="O126" i="22"/>
  <c r="N124" i="22"/>
  <c r="N122" i="22" s="1"/>
  <c r="M124" i="22"/>
  <c r="M122" i="22" s="1"/>
  <c r="P122" i="22" s="1"/>
  <c r="L124" i="22"/>
  <c r="P123" i="22"/>
  <c r="O123" i="22"/>
  <c r="P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I99" i="22"/>
  <c r="K99" i="22" s="1"/>
  <c r="J98" i="22"/>
  <c r="I98" i="22"/>
  <c r="K98" i="22" s="1"/>
  <c r="N96" i="22"/>
  <c r="N94" i="22" s="1"/>
  <c r="M96" i="22"/>
  <c r="M94" i="22" s="1"/>
  <c r="P94" i="22" s="1"/>
  <c r="L96" i="22"/>
  <c r="L94" i="22" s="1"/>
  <c r="O94" i="22" s="1"/>
  <c r="P95" i="22"/>
  <c r="O95" i="22"/>
  <c r="N93" i="22"/>
  <c r="N91" i="22" s="1"/>
  <c r="M93" i="22"/>
  <c r="M91" i="22" s="1"/>
  <c r="L93" i="22"/>
  <c r="L91" i="22" s="1"/>
  <c r="P92" i="22"/>
  <c r="O92" i="22"/>
  <c r="P89" i="22"/>
  <c r="N89" i="22"/>
  <c r="M89" i="22"/>
  <c r="L89" i="22"/>
  <c r="J87" i="22"/>
  <c r="J86" i="22"/>
  <c r="I84" i="22"/>
  <c r="K84" i="22" s="1"/>
  <c r="I83" i="22"/>
  <c r="K83" i="22" s="1"/>
  <c r="I82" i="22"/>
  <c r="K82" i="22" s="1"/>
  <c r="I81" i="22"/>
  <c r="K81" i="22" s="1"/>
  <c r="I80" i="22"/>
  <c r="I79" i="22"/>
  <c r="I78" i="22"/>
  <c r="K78" i="22" s="1"/>
  <c r="J77" i="22"/>
  <c r="J65" i="22" s="1"/>
  <c r="J76" i="22"/>
  <c r="J64" i="22" s="1"/>
  <c r="N74" i="22"/>
  <c r="N72" i="22" s="1"/>
  <c r="M74" i="22"/>
  <c r="P74" i="22" s="1"/>
  <c r="L74" i="22"/>
  <c r="O74" i="22" s="1"/>
  <c r="P73" i="22"/>
  <c r="O73" i="22"/>
  <c r="N71" i="22"/>
  <c r="N69" i="22" s="1"/>
  <c r="M71" i="22"/>
  <c r="P71" i="22" s="1"/>
  <c r="L71" i="22"/>
  <c r="O71" i="22" s="1"/>
  <c r="P70" i="22"/>
  <c r="O70" i="22"/>
  <c r="O67" i="22"/>
  <c r="N67" i="22"/>
  <c r="M67" i="22"/>
  <c r="L67" i="22"/>
  <c r="N61" i="22"/>
  <c r="N59" i="22" s="1"/>
  <c r="M61" i="22"/>
  <c r="P61" i="22" s="1"/>
  <c r="L61" i="22"/>
  <c r="O61" i="22" s="1"/>
  <c r="P60" i="22"/>
  <c r="O60" i="22"/>
  <c r="N58" i="22"/>
  <c r="N56" i="22" s="1"/>
  <c r="M58" i="22"/>
  <c r="L58" i="22"/>
  <c r="P57" i="22"/>
  <c r="O57" i="22"/>
  <c r="P54" i="22"/>
  <c r="N54" i="22"/>
  <c r="M54" i="22"/>
  <c r="L54" i="22"/>
  <c r="O54" i="22" s="1"/>
  <c r="N49" i="22"/>
  <c r="N47" i="22" s="1"/>
  <c r="M49" i="22"/>
  <c r="M47" i="22" s="1"/>
  <c r="P47" i="22" s="1"/>
  <c r="L49" i="22"/>
  <c r="L47" i="22" s="1"/>
  <c r="O47" i="22" s="1"/>
  <c r="P48" i="22"/>
  <c r="O48" i="22"/>
  <c r="N46" i="22"/>
  <c r="N44" i="22" s="1"/>
  <c r="M46" i="22"/>
  <c r="L46" i="22"/>
  <c r="L44" i="22" s="1"/>
  <c r="P45" i="22"/>
  <c r="O45" i="22"/>
  <c r="O42" i="22"/>
  <c r="N42" i="22"/>
  <c r="M42" i="22"/>
  <c r="L42" i="22"/>
  <c r="P36" i="22"/>
  <c r="N36" i="22"/>
  <c r="M36" i="22"/>
  <c r="O35" i="22"/>
  <c r="N35" i="22"/>
  <c r="N34" i="22" s="1"/>
  <c r="M35" i="22"/>
  <c r="L35" i="22"/>
  <c r="P32" i="22"/>
  <c r="N32" i="22"/>
  <c r="N29" i="22" s="1"/>
  <c r="M32" i="22"/>
  <c r="L32" i="22"/>
  <c r="L29" i="22" s="1"/>
  <c r="P29" i="22"/>
  <c r="M29" i="22"/>
  <c r="P25" i="22"/>
  <c r="O25" i="22"/>
  <c r="N25" i="22"/>
  <c r="M25" i="22"/>
  <c r="L25" i="22"/>
  <c r="O22" i="22"/>
  <c r="N22" i="22"/>
  <c r="M22" i="22"/>
  <c r="L22" i="22"/>
  <c r="N19" i="22"/>
  <c r="M19" i="22"/>
  <c r="P19" i="22" s="1"/>
  <c r="L19" i="22"/>
  <c r="O15" i="22"/>
  <c r="M15" i="22"/>
  <c r="P15" i="22" s="1"/>
  <c r="L15" i="22"/>
  <c r="N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O807" i="21"/>
  <c r="M807" i="21"/>
  <c r="P807" i="21" s="1"/>
  <c r="L807" i="21"/>
  <c r="N806" i="21"/>
  <c r="M806" i="21"/>
  <c r="P806" i="21" s="1"/>
  <c r="L806" i="2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O796" i="21"/>
  <c r="N796" i="21"/>
  <c r="M796" i="21"/>
  <c r="P796" i="21" s="1"/>
  <c r="L796" i="21"/>
  <c r="P791" i="21"/>
  <c r="N791" i="21"/>
  <c r="L791" i="21"/>
  <c r="O791" i="21" s="1"/>
  <c r="P790" i="21"/>
  <c r="O790" i="21"/>
  <c r="M789" i="21"/>
  <c r="P789" i="21" s="1"/>
  <c r="M788" i="21"/>
  <c r="M786" i="21" s="1"/>
  <c r="P786" i="21" s="1"/>
  <c r="P787" i="21"/>
  <c r="N787" i="21"/>
  <c r="M787" i="21"/>
  <c r="L787" i="2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P774" i="21"/>
  <c r="O774" i="21"/>
  <c r="O773" i="21"/>
  <c r="N773" i="21"/>
  <c r="M773" i="21"/>
  <c r="P773" i="21" s="1"/>
  <c r="L773" i="21"/>
  <c r="P772" i="21"/>
  <c r="N772" i="21"/>
  <c r="M772" i="21"/>
  <c r="L772" i="21"/>
  <c r="P771" i="21"/>
  <c r="O771" i="21"/>
  <c r="N771" i="21"/>
  <c r="M771" i="21"/>
  <c r="L771" i="21"/>
  <c r="P770" i="21"/>
  <c r="N770" i="21"/>
  <c r="M770" i="2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P758" i="21"/>
  <c r="O758" i="21"/>
  <c r="O757" i="21"/>
  <c r="M757" i="21"/>
  <c r="P757" i="21" s="1"/>
  <c r="L757" i="21"/>
  <c r="P756" i="21"/>
  <c r="O756" i="21"/>
  <c r="M756" i="21"/>
  <c r="L756" i="21"/>
  <c r="O755" i="21"/>
  <c r="N755" i="21"/>
  <c r="M755" i="21"/>
  <c r="L755" i="21"/>
  <c r="L754" i="2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P741" i="21"/>
  <c r="O741" i="21"/>
  <c r="O740" i="21"/>
  <c r="N740" i="21"/>
  <c r="M740" i="21"/>
  <c r="P740" i="21" s="1"/>
  <c r="L740" i="21"/>
  <c r="N739" i="21"/>
  <c r="N737" i="21" s="1"/>
  <c r="M739" i="21"/>
  <c r="P739" i="21" s="1"/>
  <c r="L739" i="21"/>
  <c r="P738" i="21"/>
  <c r="O738" i="21"/>
  <c r="N738" i="21"/>
  <c r="M738" i="21"/>
  <c r="L738" i="21"/>
  <c r="P737" i="21"/>
  <c r="M737" i="21"/>
  <c r="K736" i="21"/>
  <c r="J736" i="21"/>
  <c r="J729" i="21"/>
  <c r="I729" i="21"/>
  <c r="K729" i="21" s="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N694" i="21"/>
  <c r="N690" i="21" s="1"/>
  <c r="N687" i="21" s="1"/>
  <c r="L690" i="21"/>
  <c r="L688" i="21" s="1"/>
  <c r="N688" i="21"/>
  <c r="P686" i="21"/>
  <c r="N686" i="21"/>
  <c r="N685" i="21" s="1"/>
  <c r="M686" i="21"/>
  <c r="L686" i="21"/>
  <c r="O686" i="21" s="1"/>
  <c r="J679" i="21"/>
  <c r="J678" i="21" s="1"/>
  <c r="I678" i="21"/>
  <c r="K678" i="21" s="1"/>
  <c r="J675" i="21"/>
  <c r="I671" i="21"/>
  <c r="K671" i="21" s="1"/>
  <c r="I670" i="21"/>
  <c r="K670" i="21" s="1"/>
  <c r="J669" i="21"/>
  <c r="J654" i="21" s="1"/>
  <c r="I669" i="21"/>
  <c r="K673" i="21" s="1"/>
  <c r="P667" i="21"/>
  <c r="O667" i="21"/>
  <c r="P666" i="21"/>
  <c r="O666" i="21"/>
  <c r="P665" i="21"/>
  <c r="N665" i="21"/>
  <c r="M665" i="21"/>
  <c r="L665" i="21"/>
  <c r="O665" i="21" s="1"/>
  <c r="N660" i="21"/>
  <c r="N657" i="21" s="1"/>
  <c r="L660" i="21"/>
  <c r="L657" i="21" s="1"/>
  <c r="P659" i="21"/>
  <c r="O659" i="21"/>
  <c r="N656" i="21"/>
  <c r="M656" i="21"/>
  <c r="P656" i="21" s="1"/>
  <c r="L656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N638" i="21"/>
  <c r="N634" i="21" s="1"/>
  <c r="L634" i="21"/>
  <c r="M634" i="21" s="1"/>
  <c r="P633" i="21"/>
  <c r="O633" i="21"/>
  <c r="N630" i="21"/>
  <c r="M630" i="21"/>
  <c r="P630" i="21" s="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4" i="21"/>
  <c r="I594" i="21"/>
  <c r="K594" i="21" s="1"/>
  <c r="I593" i="21"/>
  <c r="J583" i="21"/>
  <c r="J577" i="21" s="1"/>
  <c r="J582" i="21"/>
  <c r="I577" i="21"/>
  <c r="K577" i="21" s="1"/>
  <c r="J576" i="21"/>
  <c r="I576" i="21"/>
  <c r="I559" i="21" s="1"/>
  <c r="I543" i="21" s="1"/>
  <c r="J569" i="21"/>
  <c r="I569" i="21"/>
  <c r="K569" i="21" s="1"/>
  <c r="J568" i="21"/>
  <c r="I568" i="21"/>
  <c r="J561" i="21"/>
  <c r="I561" i="21"/>
  <c r="K561" i="21" s="1"/>
  <c r="J560" i="21"/>
  <c r="I560" i="21"/>
  <c r="K560" i="21" s="1"/>
  <c r="P557" i="21"/>
  <c r="L557" i="21"/>
  <c r="L555" i="21" s="1"/>
  <c r="O555" i="21" s="1"/>
  <c r="P556" i="21"/>
  <c r="O556" i="21"/>
  <c r="P555" i="21"/>
  <c r="N555" i="21"/>
  <c r="N545" i="21" s="1"/>
  <c r="M555" i="21"/>
  <c r="N553" i="21"/>
  <c r="N549" i="21"/>
  <c r="L549" i="21"/>
  <c r="P548" i="21"/>
  <c r="O548" i="21"/>
  <c r="O545" i="21"/>
  <c r="M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P535" i="21"/>
  <c r="L535" i="21"/>
  <c r="O535" i="21" s="1"/>
  <c r="P534" i="21"/>
  <c r="O534" i="21"/>
  <c r="N533" i="21"/>
  <c r="M533" i="21"/>
  <c r="P533" i="21" s="1"/>
  <c r="P528" i="21"/>
  <c r="N528" i="21"/>
  <c r="N526" i="21" s="1"/>
  <c r="L528" i="21"/>
  <c r="L526" i="21" s="1"/>
  <c r="O526" i="21" s="1"/>
  <c r="P527" i="21"/>
  <c r="O527" i="21"/>
  <c r="M526" i="21"/>
  <c r="P526" i="21" s="1"/>
  <c r="N525" i="21"/>
  <c r="M525" i="21"/>
  <c r="M523" i="21" s="1"/>
  <c r="P524" i="21"/>
  <c r="N524" i="21"/>
  <c r="M524" i="21"/>
  <c r="L524" i="21"/>
  <c r="O524" i="21" s="1"/>
  <c r="P523" i="21"/>
  <c r="N523" i="21"/>
  <c r="K517" i="21"/>
  <c r="J517" i="21"/>
  <c r="K516" i="21"/>
  <c r="P514" i="21"/>
  <c r="O514" i="21"/>
  <c r="P513" i="21"/>
  <c r="O513" i="21"/>
  <c r="O512" i="21"/>
  <c r="N512" i="21"/>
  <c r="M512" i="21"/>
  <c r="P512" i="21" s="1"/>
  <c r="L512" i="21"/>
  <c r="P507" i="21"/>
  <c r="O507" i="21"/>
  <c r="N507" i="21"/>
  <c r="N505" i="21" s="1"/>
  <c r="P506" i="21"/>
  <c r="O506" i="21"/>
  <c r="O505" i="21"/>
  <c r="M505" i="21"/>
  <c r="P505" i="21" s="1"/>
  <c r="L505" i="21"/>
  <c r="N504" i="21"/>
  <c r="M504" i="21"/>
  <c r="P504" i="21" s="1"/>
  <c r="L504" i="21"/>
  <c r="O504" i="21" s="1"/>
  <c r="N503" i="21"/>
  <c r="M503" i="21"/>
  <c r="P503" i="21" s="1"/>
  <c r="L503" i="21"/>
  <c r="O503" i="21" s="1"/>
  <c r="N502" i="2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N477" i="21"/>
  <c r="M477" i="21"/>
  <c r="P477" i="21" s="1"/>
  <c r="N476" i="21"/>
  <c r="N473" i="21"/>
  <c r="N472" i="21" s="1"/>
  <c r="L472" i="21"/>
  <c r="P471" i="21"/>
  <c r="O471" i="21"/>
  <c r="N468" i="21"/>
  <c r="M468" i="21"/>
  <c r="P468" i="21" s="1"/>
  <c r="L468" i="21"/>
  <c r="J466" i="21"/>
  <c r="I466" i="21"/>
  <c r="K466" i="21" s="1"/>
  <c r="J465" i="21"/>
  <c r="I465" i="21"/>
  <c r="I464" i="21"/>
  <c r="I463" i="21"/>
  <c r="I462" i="21"/>
  <c r="I443" i="21" s="1"/>
  <c r="K443" i="21" s="1"/>
  <c r="I460" i="21"/>
  <c r="I442" i="21" s="1"/>
  <c r="K442" i="21" s="1"/>
  <c r="K458" i="21"/>
  <c r="P456" i="21"/>
  <c r="L456" i="21"/>
  <c r="O456" i="21" s="1"/>
  <c r="P455" i="21"/>
  <c r="O455" i="21"/>
  <c r="P454" i="21"/>
  <c r="N454" i="21"/>
  <c r="M454" i="21"/>
  <c r="N453" i="21"/>
  <c r="N449" i="21"/>
  <c r="L449" i="21"/>
  <c r="P448" i="21"/>
  <c r="O448" i="21"/>
  <c r="O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I433" i="21" s="1"/>
  <c r="J434" i="21"/>
  <c r="P431" i="21"/>
  <c r="L431" i="21"/>
  <c r="L429" i="21" s="1"/>
  <c r="O429" i="21" s="1"/>
  <c r="P430" i="21"/>
  <c r="O430" i="21"/>
  <c r="N429" i="21"/>
  <c r="M429" i="21"/>
  <c r="P429" i="21" s="1"/>
  <c r="N428" i="21"/>
  <c r="N425" i="21"/>
  <c r="N424" i="21"/>
  <c r="N421" i="21" s="1"/>
  <c r="L424" i="21"/>
  <c r="L422" i="21" s="1"/>
  <c r="P423" i="21"/>
  <c r="O423" i="21"/>
  <c r="N420" i="21"/>
  <c r="N419" i="21" s="1"/>
  <c r="M420" i="21"/>
  <c r="P420" i="21" s="1"/>
  <c r="L420" i="21"/>
  <c r="J418" i="21"/>
  <c r="K413" i="21"/>
  <c r="K412" i="21"/>
  <c r="N410" i="21"/>
  <c r="N408" i="21" s="1"/>
  <c r="M410" i="21"/>
  <c r="L410" i="21"/>
  <c r="P409" i="21"/>
  <c r="O409" i="21"/>
  <c r="N407" i="21"/>
  <c r="N405" i="21" s="1"/>
  <c r="M407" i="21"/>
  <c r="M405" i="21" s="1"/>
  <c r="P405" i="21" s="1"/>
  <c r="L407" i="21"/>
  <c r="P406" i="21"/>
  <c r="O406" i="21"/>
  <c r="P403" i="21"/>
  <c r="N403" i="21"/>
  <c r="M403" i="21"/>
  <c r="L403" i="21"/>
  <c r="O403" i="21" s="1"/>
  <c r="K401" i="21"/>
  <c r="J401" i="21"/>
  <c r="I401" i="21"/>
  <c r="K400" i="21"/>
  <c r="K399" i="21"/>
  <c r="N397" i="21"/>
  <c r="N395" i="21" s="1"/>
  <c r="M397" i="21"/>
  <c r="M395" i="21" s="1"/>
  <c r="P395" i="21" s="1"/>
  <c r="L397" i="21"/>
  <c r="O397" i="21" s="1"/>
  <c r="P396" i="21"/>
  <c r="O396" i="21"/>
  <c r="N394" i="21"/>
  <c r="M394" i="21"/>
  <c r="L394" i="21"/>
  <c r="L392" i="21" s="1"/>
  <c r="O392" i="21" s="1"/>
  <c r="P393" i="21"/>
  <c r="O393" i="21"/>
  <c r="N390" i="21"/>
  <c r="M390" i="21"/>
  <c r="P390" i="21" s="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N348" i="21" s="1"/>
  <c r="M350" i="21"/>
  <c r="L350" i="21"/>
  <c r="P349" i="21"/>
  <c r="O349" i="21"/>
  <c r="N346" i="21"/>
  <c r="M346" i="21"/>
  <c r="P346" i="21" s="1"/>
  <c r="L346" i="21"/>
  <c r="J343" i="21"/>
  <c r="J342" i="21"/>
  <c r="J341" i="21"/>
  <c r="J340" i="21"/>
  <c r="I340" i="21"/>
  <c r="J338" i="21"/>
  <c r="I338" i="21"/>
  <c r="N336" i="21"/>
  <c r="N334" i="21" s="1"/>
  <c r="M336" i="21"/>
  <c r="L336" i="21"/>
  <c r="L334" i="21" s="1"/>
  <c r="O334" i="21" s="1"/>
  <c r="P335" i="21"/>
  <c r="O335" i="21"/>
  <c r="N333" i="21"/>
  <c r="N331" i="21" s="1"/>
  <c r="M333" i="21"/>
  <c r="L333" i="21"/>
  <c r="P332" i="21"/>
  <c r="O332" i="21"/>
  <c r="N329" i="21"/>
  <c r="M329" i="21"/>
  <c r="P329" i="21" s="1"/>
  <c r="L329" i="21"/>
  <c r="I327" i="21"/>
  <c r="I325" i="21"/>
  <c r="N323" i="21"/>
  <c r="N321" i="21" s="1"/>
  <c r="M323" i="21"/>
  <c r="P323" i="21" s="1"/>
  <c r="L323" i="21"/>
  <c r="O323" i="21" s="1"/>
  <c r="P322" i="21"/>
  <c r="O322" i="21"/>
  <c r="N320" i="21"/>
  <c r="M320" i="21"/>
  <c r="L320" i="21"/>
  <c r="P319" i="21"/>
  <c r="O319" i="21"/>
  <c r="P316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O306" i="21" s="1"/>
  <c r="P305" i="21"/>
  <c r="O305" i="21"/>
  <c r="N303" i="21"/>
  <c r="N301" i="21" s="1"/>
  <c r="M303" i="21"/>
  <c r="L303" i="21"/>
  <c r="L301" i="21" s="1"/>
  <c r="P302" i="21"/>
  <c r="O302" i="21"/>
  <c r="P299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I276" i="21" s="1"/>
  <c r="K276" i="21" s="1"/>
  <c r="N285" i="21"/>
  <c r="N283" i="21" s="1"/>
  <c r="M285" i="21"/>
  <c r="P285" i="21" s="1"/>
  <c r="L285" i="21"/>
  <c r="P284" i="21"/>
  <c r="O284" i="21"/>
  <c r="N282" i="21"/>
  <c r="M282" i="21"/>
  <c r="L282" i="21"/>
  <c r="L280" i="21" s="1"/>
  <c r="P281" i="21"/>
  <c r="O281" i="21"/>
  <c r="P278" i="21"/>
  <c r="O278" i="21"/>
  <c r="N278" i="21"/>
  <c r="M278" i="21"/>
  <c r="L278" i="21"/>
  <c r="J276" i="21"/>
  <c r="I271" i="21"/>
  <c r="N269" i="21"/>
  <c r="N267" i="21" s="1"/>
  <c r="M269" i="21"/>
  <c r="P269" i="21" s="1"/>
  <c r="L269" i="21"/>
  <c r="O269" i="21" s="1"/>
  <c r="P268" i="21"/>
  <c r="O268" i="21"/>
  <c r="N266" i="21"/>
  <c r="M266" i="21"/>
  <c r="L266" i="21"/>
  <c r="L264" i="21" s="1"/>
  <c r="P265" i="21"/>
  <c r="O265" i="21"/>
  <c r="P262" i="21"/>
  <c r="O262" i="21"/>
  <c r="N262" i="21"/>
  <c r="M262" i="21"/>
  <c r="L262" i="21"/>
  <c r="J260" i="21"/>
  <c r="K258" i="21"/>
  <c r="K257" i="21"/>
  <c r="I255" i="21"/>
  <c r="L253" i="21"/>
  <c r="L252" i="21"/>
  <c r="L251" i="21"/>
  <c r="L250" i="21"/>
  <c r="P249" i="21"/>
  <c r="N249" i="21"/>
  <c r="N227" i="21" s="1"/>
  <c r="J248" i="21"/>
  <c r="K247" i="21"/>
  <c r="K246" i="21"/>
  <c r="I244" i="21"/>
  <c r="L242" i="21"/>
  <c r="L241" i="21"/>
  <c r="L240" i="21"/>
  <c r="L239" i="21"/>
  <c r="P238" i="21"/>
  <c r="N238" i="21"/>
  <c r="J237" i="21"/>
  <c r="I237" i="21"/>
  <c r="K237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J226" i="21"/>
  <c r="J180" i="21" s="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6" i="21"/>
  <c r="K216" i="21" s="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L202" i="21"/>
  <c r="L201" i="21"/>
  <c r="L200" i="21"/>
  <c r="L199" i="21"/>
  <c r="P198" i="21"/>
  <c r="N198" i="21"/>
  <c r="J197" i="21"/>
  <c r="J195" i="21"/>
  <c r="J194" i="21"/>
  <c r="I193" i="21"/>
  <c r="I190" i="21" s="1"/>
  <c r="K190" i="21" s="1"/>
  <c r="P191" i="21"/>
  <c r="L191" i="21"/>
  <c r="O191" i="21" s="1"/>
  <c r="J190" i="21"/>
  <c r="N189" i="21"/>
  <c r="M189" i="21"/>
  <c r="P189" i="21" s="1"/>
  <c r="L189" i="21"/>
  <c r="P188" i="21"/>
  <c r="O188" i="21"/>
  <c r="N186" i="21"/>
  <c r="N184" i="21" s="1"/>
  <c r="M186" i="21"/>
  <c r="L186" i="21"/>
  <c r="L184" i="21" s="1"/>
  <c r="P185" i="21"/>
  <c r="O185" i="21"/>
  <c r="N182" i="21"/>
  <c r="M182" i="21"/>
  <c r="L182" i="21"/>
  <c r="J177" i="21"/>
  <c r="I176" i="21"/>
  <c r="J174" i="21"/>
  <c r="J164" i="21" s="1"/>
  <c r="N173" i="21"/>
  <c r="N171" i="21" s="1"/>
  <c r="M173" i="21"/>
  <c r="P173" i="21" s="1"/>
  <c r="L173" i="21"/>
  <c r="P172" i="21"/>
  <c r="O172" i="21"/>
  <c r="N170" i="21"/>
  <c r="M170" i="21"/>
  <c r="M168" i="21" s="1"/>
  <c r="L170" i="21"/>
  <c r="L168" i="21" s="1"/>
  <c r="P169" i="21"/>
  <c r="O169" i="21"/>
  <c r="P166" i="21"/>
  <c r="O166" i="21"/>
  <c r="N166" i="21"/>
  <c r="M166" i="21"/>
  <c r="L166" i="21"/>
  <c r="I159" i="21"/>
  <c r="I148" i="21" s="1"/>
  <c r="N157" i="21"/>
  <c r="M157" i="21"/>
  <c r="M155" i="21" s="1"/>
  <c r="P155" i="21" s="1"/>
  <c r="L157" i="21"/>
  <c r="O157" i="21" s="1"/>
  <c r="P156" i="21"/>
  <c r="O156" i="21"/>
  <c r="N154" i="21"/>
  <c r="N152" i="21" s="1"/>
  <c r="M154" i="21"/>
  <c r="L154" i="21"/>
  <c r="P153" i="21"/>
  <c r="O153" i="21"/>
  <c r="N150" i="21"/>
  <c r="M150" i="21"/>
  <c r="L150" i="21"/>
  <c r="O150" i="21" s="1"/>
  <c r="J148" i="21"/>
  <c r="I146" i="21"/>
  <c r="I145" i="21"/>
  <c r="I143" i="21" s="1"/>
  <c r="I144" i="21"/>
  <c r="N140" i="21"/>
  <c r="N138" i="21" s="1"/>
  <c r="M140" i="21"/>
  <c r="L140" i="21"/>
  <c r="O140" i="21" s="1"/>
  <c r="P139" i="21"/>
  <c r="O139" i="21"/>
  <c r="N137" i="21"/>
  <c r="M137" i="21"/>
  <c r="L137" i="21"/>
  <c r="L135" i="21" s="1"/>
  <c r="O135" i="21" s="1"/>
  <c r="P136" i="21"/>
  <c r="O136" i="21"/>
  <c r="P133" i="21"/>
  <c r="O133" i="21"/>
  <c r="N133" i="21"/>
  <c r="M133" i="21"/>
  <c r="L133" i="21"/>
  <c r="J130" i="21"/>
  <c r="N127" i="21"/>
  <c r="N125" i="21" s="1"/>
  <c r="M127" i="21"/>
  <c r="M125" i="21" s="1"/>
  <c r="P125" i="21" s="1"/>
  <c r="L127" i="21"/>
  <c r="L125" i="21" s="1"/>
  <c r="O125" i="21" s="1"/>
  <c r="P126" i="21"/>
  <c r="O126" i="21"/>
  <c r="N124" i="21"/>
  <c r="N122" i="21" s="1"/>
  <c r="M124" i="21"/>
  <c r="L124" i="21"/>
  <c r="P123" i="21"/>
  <c r="O123" i="21"/>
  <c r="N120" i="21"/>
  <c r="M120" i="21"/>
  <c r="L120" i="21"/>
  <c r="O120" i="21" s="1"/>
  <c r="J118" i="21"/>
  <c r="K118" i="21" s="1"/>
  <c r="I116" i="21"/>
  <c r="K116" i="21" s="1"/>
  <c r="I115" i="2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I98" i="21"/>
  <c r="I86" i="21" s="1"/>
  <c r="K86" i="21" s="1"/>
  <c r="N96" i="21"/>
  <c r="N94" i="21" s="1"/>
  <c r="M96" i="21"/>
  <c r="P96" i="21" s="1"/>
  <c r="L96" i="21"/>
  <c r="L94" i="21" s="1"/>
  <c r="O94" i="21" s="1"/>
  <c r="P95" i="21"/>
  <c r="O95" i="21"/>
  <c r="N93" i="21"/>
  <c r="M93" i="21"/>
  <c r="M91" i="21" s="1"/>
  <c r="L93" i="21"/>
  <c r="L91" i="21" s="1"/>
  <c r="P92" i="21"/>
  <c r="O92" i="21"/>
  <c r="P89" i="21"/>
  <c r="N89" i="21"/>
  <c r="M89" i="21"/>
  <c r="L89" i="21"/>
  <c r="O89" i="21" s="1"/>
  <c r="J86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J77" i="21"/>
  <c r="J76" i="21"/>
  <c r="N74" i="21"/>
  <c r="N72" i="21" s="1"/>
  <c r="M74" i="21"/>
  <c r="P74" i="21" s="1"/>
  <c r="L74" i="21"/>
  <c r="L72" i="21" s="1"/>
  <c r="O72" i="21" s="1"/>
  <c r="P73" i="21"/>
  <c r="O73" i="21"/>
  <c r="N71" i="21"/>
  <c r="M71" i="21"/>
  <c r="L71" i="21"/>
  <c r="P70" i="21"/>
  <c r="O70" i="21"/>
  <c r="N67" i="21"/>
  <c r="M67" i="21"/>
  <c r="P67" i="21" s="1"/>
  <c r="L67" i="21"/>
  <c r="J65" i="21"/>
  <c r="J64" i="21"/>
  <c r="N61" i="21"/>
  <c r="N59" i="21" s="1"/>
  <c r="M61" i="21"/>
  <c r="L61" i="21"/>
  <c r="P60" i="21"/>
  <c r="O60" i="21"/>
  <c r="N58" i="21"/>
  <c r="N56" i="21" s="1"/>
  <c r="M58" i="21"/>
  <c r="M56" i="21" s="1"/>
  <c r="L58" i="21"/>
  <c r="P57" i="21"/>
  <c r="O57" i="21"/>
  <c r="P54" i="21"/>
  <c r="O54" i="21"/>
  <c r="N54" i="21"/>
  <c r="M54" i="21"/>
  <c r="L54" i="21"/>
  <c r="N49" i="21"/>
  <c r="N47" i="21" s="1"/>
  <c r="M49" i="21"/>
  <c r="P49" i="21" s="1"/>
  <c r="L49" i="21"/>
  <c r="O49" i="21" s="1"/>
  <c r="P48" i="21"/>
  <c r="O48" i="21"/>
  <c r="N46" i="21"/>
  <c r="M46" i="21"/>
  <c r="L46" i="21"/>
  <c r="L44" i="21" s="1"/>
  <c r="P45" i="21"/>
  <c r="O45" i="21"/>
  <c r="P42" i="21"/>
  <c r="O42" i="21"/>
  <c r="N42" i="21"/>
  <c r="M42" i="21"/>
  <c r="L42" i="21"/>
  <c r="P36" i="21"/>
  <c r="N36" i="21"/>
  <c r="M36" i="21"/>
  <c r="N35" i="21"/>
  <c r="M35" i="21"/>
  <c r="M15" i="21" s="1"/>
  <c r="L35" i="21"/>
  <c r="N34" i="21"/>
  <c r="N33" i="21"/>
  <c r="N30" i="21" s="1"/>
  <c r="N28" i="21" s="1"/>
  <c r="P32" i="21"/>
  <c r="N32" i="21"/>
  <c r="M32" i="21"/>
  <c r="L32" i="21"/>
  <c r="N29" i="21"/>
  <c r="P25" i="21"/>
  <c r="O25" i="21"/>
  <c r="N25" i="21"/>
  <c r="N19" i="21" s="1"/>
  <c r="M25" i="21"/>
  <c r="L25" i="21"/>
  <c r="P22" i="21"/>
  <c r="O22" i="21"/>
  <c r="N22" i="21"/>
  <c r="M22" i="21"/>
  <c r="M19" i="21" s="1"/>
  <c r="L22" i="21"/>
  <c r="P19" i="21"/>
  <c r="O19" i="21"/>
  <c r="L19" i="21"/>
  <c r="N15" i="21"/>
  <c r="N12" i="21"/>
  <c r="M12" i="2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N815" i="20"/>
  <c r="M815" i="20"/>
  <c r="P815" i="20" s="1"/>
  <c r="L815" i="20"/>
  <c r="O815" i="20" s="1"/>
  <c r="P810" i="20"/>
  <c r="O810" i="20"/>
  <c r="N810" i="20"/>
  <c r="N808" i="20" s="1"/>
  <c r="P809" i="20"/>
  <c r="O809" i="20"/>
  <c r="P808" i="20"/>
  <c r="O808" i="20"/>
  <c r="M808" i="20"/>
  <c r="L808" i="20"/>
  <c r="M807" i="20"/>
  <c r="P807" i="20" s="1"/>
  <c r="L807" i="20"/>
  <c r="O807" i="20" s="1"/>
  <c r="N806" i="20"/>
  <c r="M806" i="20"/>
  <c r="P806" i="20" s="1"/>
  <c r="L806" i="20"/>
  <c r="O806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L791" i="20"/>
  <c r="O791" i="20" s="1"/>
  <c r="P790" i="20"/>
  <c r="O790" i="20"/>
  <c r="N789" i="20"/>
  <c r="M789" i="20"/>
  <c r="P789" i="20" s="1"/>
  <c r="N788" i="20"/>
  <c r="M788" i="20"/>
  <c r="M786" i="20" s="1"/>
  <c r="P786" i="20" s="1"/>
  <c r="P787" i="20"/>
  <c r="N787" i="20"/>
  <c r="N786" i="20" s="1"/>
  <c r="M787" i="20"/>
  <c r="L787" i="20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N772" i="20" s="1"/>
  <c r="N770" i="20" s="1"/>
  <c r="P774" i="20"/>
  <c r="O774" i="20"/>
  <c r="O773" i="20"/>
  <c r="N773" i="20"/>
  <c r="M773" i="20"/>
  <c r="P773" i="20" s="1"/>
  <c r="L773" i="20"/>
  <c r="P772" i="20"/>
  <c r="M772" i="20"/>
  <c r="L772" i="20"/>
  <c r="O772" i="20" s="1"/>
  <c r="P771" i="20"/>
  <c r="N771" i="20"/>
  <c r="M771" i="20"/>
  <c r="L771" i="20"/>
  <c r="O771" i="20" s="1"/>
  <c r="M770" i="20"/>
  <c r="P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P758" i="20"/>
  <c r="O758" i="20"/>
  <c r="O757" i="20"/>
  <c r="M757" i="20"/>
  <c r="P757" i="20" s="1"/>
  <c r="L757" i="20"/>
  <c r="P756" i="20"/>
  <c r="O756" i="20"/>
  <c r="M756" i="20"/>
  <c r="L756" i="20"/>
  <c r="N755" i="20"/>
  <c r="M755" i="20"/>
  <c r="L755" i="20"/>
  <c r="O755" i="20" s="1"/>
  <c r="K753" i="20"/>
  <c r="J753" i="20"/>
  <c r="P749" i="20"/>
  <c r="O749" i="20"/>
  <c r="P748" i="20"/>
  <c r="O748" i="20"/>
  <c r="N747" i="20"/>
  <c r="M747" i="20"/>
  <c r="P747" i="20" s="1"/>
  <c r="L747" i="20"/>
  <c r="O747" i="20" s="1"/>
  <c r="P742" i="20"/>
  <c r="O742" i="20"/>
  <c r="N742" i="20"/>
  <c r="N739" i="20" s="1"/>
  <c r="P741" i="20"/>
  <c r="O741" i="20"/>
  <c r="O740" i="20"/>
  <c r="N740" i="20"/>
  <c r="M740" i="20"/>
  <c r="P740" i="20" s="1"/>
  <c r="L740" i="20"/>
  <c r="P739" i="20"/>
  <c r="M739" i="20"/>
  <c r="L739" i="20"/>
  <c r="O739" i="20" s="1"/>
  <c r="P738" i="20"/>
  <c r="N738" i="20"/>
  <c r="M738" i="20"/>
  <c r="L738" i="20"/>
  <c r="O738" i="20" s="1"/>
  <c r="N737" i="20"/>
  <c r="M737" i="20"/>
  <c r="P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O695" i="20"/>
  <c r="N695" i="20"/>
  <c r="M695" i="20"/>
  <c r="P695" i="20" s="1"/>
  <c r="L695" i="20"/>
  <c r="N690" i="20"/>
  <c r="L690" i="20"/>
  <c r="M690" i="20" s="1"/>
  <c r="M688" i="20" s="1"/>
  <c r="O686" i="20"/>
  <c r="N686" i="20"/>
  <c r="M686" i="20"/>
  <c r="P686" i="20" s="1"/>
  <c r="L686" i="20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K673" i="20" s="1"/>
  <c r="P667" i="20"/>
  <c r="O667" i="20"/>
  <c r="P666" i="20"/>
  <c r="O666" i="20"/>
  <c r="P665" i="20"/>
  <c r="N665" i="20"/>
  <c r="M665" i="20"/>
  <c r="L665" i="20"/>
  <c r="O665" i="20" s="1"/>
  <c r="N660" i="20"/>
  <c r="N658" i="20" s="1"/>
  <c r="L660" i="20"/>
  <c r="P659" i="20"/>
  <c r="O659" i="20"/>
  <c r="N657" i="20"/>
  <c r="O656" i="20"/>
  <c r="N656" i="20"/>
  <c r="N655" i="20" s="1"/>
  <c r="M656" i="20"/>
  <c r="P656" i="20" s="1"/>
  <c r="L656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P634" i="20"/>
  <c r="N634" i="20"/>
  <c r="L634" i="20"/>
  <c r="P633" i="20"/>
  <c r="O633" i="20"/>
  <c r="N632" i="20"/>
  <c r="M632" i="20"/>
  <c r="P632" i="20" s="1"/>
  <c r="P631" i="20"/>
  <c r="N631" i="20"/>
  <c r="M631" i="20"/>
  <c r="P630" i="20"/>
  <c r="N630" i="20"/>
  <c r="M630" i="20"/>
  <c r="L630" i="20"/>
  <c r="N629" i="20"/>
  <c r="M629" i="20"/>
  <c r="P629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J593" i="20" s="1"/>
  <c r="I594" i="20"/>
  <c r="K594" i="20" s="1"/>
  <c r="I593" i="20"/>
  <c r="I592" i="20" s="1"/>
  <c r="J592" i="20"/>
  <c r="J583" i="20"/>
  <c r="J582" i="20"/>
  <c r="J577" i="20"/>
  <c r="I577" i="20"/>
  <c r="K577" i="20" s="1"/>
  <c r="J576" i="20"/>
  <c r="J559" i="20" s="1"/>
  <c r="J543" i="20" s="1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N545" i="20" s="1"/>
  <c r="M555" i="20"/>
  <c r="P555" i="20" s="1"/>
  <c r="N549" i="20"/>
  <c r="L549" i="20"/>
  <c r="M549" i="20" s="1"/>
  <c r="P548" i="20"/>
  <c r="O548" i="20"/>
  <c r="P545" i="20"/>
  <c r="O545" i="20"/>
  <c r="M545" i="20"/>
  <c r="L545" i="20"/>
  <c r="I542" i="20"/>
  <c r="K542" i="20" s="1"/>
  <c r="I541" i="20"/>
  <c r="K541" i="20" s="1"/>
  <c r="I540" i="20"/>
  <c r="K540" i="20" s="1"/>
  <c r="I539" i="20"/>
  <c r="I538" i="20"/>
  <c r="K538" i="20" s="1"/>
  <c r="I537" i="20"/>
  <c r="P535" i="20"/>
  <c r="L535" i="20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P525" i="20"/>
  <c r="N525" i="20"/>
  <c r="N523" i="20" s="1"/>
  <c r="M525" i="20"/>
  <c r="P524" i="20"/>
  <c r="N524" i="20"/>
  <c r="M524" i="20"/>
  <c r="L524" i="20"/>
  <c r="O524" i="20" s="1"/>
  <c r="M523" i="20"/>
  <c r="P523" i="20" s="1"/>
  <c r="K517" i="20"/>
  <c r="J517" i="20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5" i="20" s="1"/>
  <c r="P506" i="20"/>
  <c r="O506" i="20"/>
  <c r="O505" i="20"/>
  <c r="M505" i="20"/>
  <c r="P505" i="20" s="1"/>
  <c r="L505" i="20"/>
  <c r="P504" i="20"/>
  <c r="O504" i="20"/>
  <c r="N504" i="20"/>
  <c r="N502" i="20" s="1"/>
  <c r="M504" i="20"/>
  <c r="L504" i="20"/>
  <c r="N503" i="20"/>
  <c r="M503" i="20"/>
  <c r="P503" i="20" s="1"/>
  <c r="L503" i="20"/>
  <c r="O503" i="20" s="1"/>
  <c r="M502" i="20"/>
  <c r="P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L477" i="20" s="1"/>
  <c r="O477" i="20" s="1"/>
  <c r="P478" i="20"/>
  <c r="O478" i="20"/>
  <c r="N477" i="20"/>
  <c r="M477" i="20"/>
  <c r="P477" i="20" s="1"/>
  <c r="P472" i="20"/>
  <c r="N472" i="20"/>
  <c r="N470" i="20" s="1"/>
  <c r="L472" i="20"/>
  <c r="O472" i="20" s="1"/>
  <c r="P471" i="20"/>
  <c r="O471" i="20"/>
  <c r="P470" i="20"/>
  <c r="M470" i="20"/>
  <c r="M469" i="20"/>
  <c r="P469" i="20" s="1"/>
  <c r="O468" i="20"/>
  <c r="N468" i="20"/>
  <c r="M468" i="20"/>
  <c r="P468" i="20" s="1"/>
  <c r="L468" i="20"/>
  <c r="J466" i="20"/>
  <c r="I466" i="20"/>
  <c r="K466" i="20" s="1"/>
  <c r="J465" i="20"/>
  <c r="I465" i="20"/>
  <c r="K465" i="20" s="1"/>
  <c r="I464" i="20"/>
  <c r="I463" i="20"/>
  <c r="I462" i="20"/>
  <c r="I443" i="20" s="1"/>
  <c r="K443" i="20" s="1"/>
  <c r="I460" i="20"/>
  <c r="K458" i="20"/>
  <c r="P456" i="20"/>
  <c r="L456" i="20"/>
  <c r="O456" i="20" s="1"/>
  <c r="P455" i="20"/>
  <c r="O455" i="20"/>
  <c r="N454" i="20"/>
  <c r="M454" i="20"/>
  <c r="P454" i="20" s="1"/>
  <c r="P449" i="20"/>
  <c r="N449" i="20"/>
  <c r="L449" i="20"/>
  <c r="O449" i="20" s="1"/>
  <c r="P448" i="20"/>
  <c r="O448" i="20"/>
  <c r="P447" i="20"/>
  <c r="N447" i="20"/>
  <c r="M447" i="20"/>
  <c r="N446" i="20"/>
  <c r="M446" i="20"/>
  <c r="P445" i="20"/>
  <c r="O445" i="20"/>
  <c r="N445" i="20"/>
  <c r="N444" i="20" s="1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I437" i="20"/>
  <c r="I435" i="20"/>
  <c r="K435" i="20" s="1"/>
  <c r="J434" i="20"/>
  <c r="P431" i="20"/>
  <c r="L431" i="20"/>
  <c r="P430" i="20"/>
  <c r="O430" i="20"/>
  <c r="N429" i="20"/>
  <c r="M429" i="20"/>
  <c r="P429" i="20" s="1"/>
  <c r="N424" i="20"/>
  <c r="L424" i="20"/>
  <c r="M424" i="20" s="1"/>
  <c r="M421" i="20" s="1"/>
  <c r="P423" i="20"/>
  <c r="O423" i="20"/>
  <c r="P420" i="20"/>
  <c r="O420" i="20"/>
  <c r="N420" i="20"/>
  <c r="M420" i="20"/>
  <c r="L420" i="20"/>
  <c r="J418" i="20"/>
  <c r="K413" i="20"/>
  <c r="K412" i="20"/>
  <c r="N410" i="20"/>
  <c r="M410" i="20"/>
  <c r="L410" i="20"/>
  <c r="L408" i="20" s="1"/>
  <c r="O408" i="20" s="1"/>
  <c r="P409" i="20"/>
  <c r="O409" i="20"/>
  <c r="N407" i="20"/>
  <c r="N405" i="20" s="1"/>
  <c r="M407" i="20"/>
  <c r="L407" i="20"/>
  <c r="O407" i="20" s="1"/>
  <c r="P406" i="20"/>
  <c r="O406" i="20"/>
  <c r="N403" i="20"/>
  <c r="M403" i="20"/>
  <c r="P403" i="20" s="1"/>
  <c r="L403" i="20"/>
  <c r="O403" i="20" s="1"/>
  <c r="J401" i="20"/>
  <c r="I401" i="20"/>
  <c r="K401" i="20" s="1"/>
  <c r="K400" i="20"/>
  <c r="K399" i="20"/>
  <c r="N397" i="20"/>
  <c r="N395" i="20" s="1"/>
  <c r="M397" i="20"/>
  <c r="M395" i="20" s="1"/>
  <c r="P395" i="20" s="1"/>
  <c r="L397" i="20"/>
  <c r="L395" i="20" s="1"/>
  <c r="O395" i="20" s="1"/>
  <c r="P396" i="20"/>
  <c r="O396" i="20"/>
  <c r="N394" i="20"/>
  <c r="M394" i="20"/>
  <c r="M392" i="20" s="1"/>
  <c r="P392" i="20" s="1"/>
  <c r="L394" i="20"/>
  <c r="L392" i="20" s="1"/>
  <c r="O392" i="20" s="1"/>
  <c r="P393" i="20"/>
  <c r="O393" i="20"/>
  <c r="P390" i="20"/>
  <c r="N390" i="20"/>
  <c r="M390" i="20"/>
  <c r="L390" i="20"/>
  <c r="O390" i="20" s="1"/>
  <c r="J388" i="20"/>
  <c r="I388" i="20"/>
  <c r="K388" i="20" s="1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M351" i="20" s="1"/>
  <c r="L353" i="20"/>
  <c r="L351" i="20" s="1"/>
  <c r="P352" i="20"/>
  <c r="O352" i="20"/>
  <c r="N350" i="20"/>
  <c r="N348" i="20" s="1"/>
  <c r="M350" i="20"/>
  <c r="L350" i="20"/>
  <c r="L348" i="20" s="1"/>
  <c r="P349" i="20"/>
  <c r="O349" i="20"/>
  <c r="O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O336" i="20" s="1"/>
  <c r="P335" i="20"/>
  <c r="O335" i="20"/>
  <c r="N333" i="20"/>
  <c r="N331" i="20" s="1"/>
  <c r="M333" i="20"/>
  <c r="L333" i="20"/>
  <c r="P332" i="20"/>
  <c r="O332" i="20"/>
  <c r="O329" i="20"/>
  <c r="N329" i="20"/>
  <c r="M329" i="20"/>
  <c r="L329" i="20"/>
  <c r="I327" i="20"/>
  <c r="I325" i="20"/>
  <c r="I314" i="20" s="1"/>
  <c r="K314" i="20" s="1"/>
  <c r="N323" i="20"/>
  <c r="N321" i="20" s="1"/>
  <c r="M323" i="20"/>
  <c r="P323" i="20" s="1"/>
  <c r="L323" i="20"/>
  <c r="P322" i="20"/>
  <c r="O322" i="20"/>
  <c r="N320" i="20"/>
  <c r="N318" i="20" s="1"/>
  <c r="M320" i="20"/>
  <c r="L320" i="20"/>
  <c r="O320" i="20" s="1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M306" i="20"/>
  <c r="M304" i="20" s="1"/>
  <c r="P304" i="20" s="1"/>
  <c r="L306" i="20"/>
  <c r="L304" i="20" s="1"/>
  <c r="O304" i="20" s="1"/>
  <c r="P305" i="20"/>
  <c r="O305" i="20"/>
  <c r="N303" i="20"/>
  <c r="N301" i="20" s="1"/>
  <c r="M303" i="20"/>
  <c r="L303" i="20"/>
  <c r="L301" i="20" s="1"/>
  <c r="O301" i="20" s="1"/>
  <c r="P302" i="20"/>
  <c r="O302" i="20"/>
  <c r="P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P282" i="20" s="1"/>
  <c r="L282" i="20"/>
  <c r="O282" i="20" s="1"/>
  <c r="P281" i="20"/>
  <c r="O281" i="20"/>
  <c r="P278" i="20"/>
  <c r="O278" i="20"/>
  <c r="N278" i="20"/>
  <c r="M278" i="20"/>
  <c r="L278" i="20"/>
  <c r="J276" i="20"/>
  <c r="I271" i="20"/>
  <c r="I260" i="20" s="1"/>
  <c r="K260" i="20" s="1"/>
  <c r="N269" i="20"/>
  <c r="N267" i="20" s="1"/>
  <c r="M269" i="20"/>
  <c r="P269" i="20" s="1"/>
  <c r="L269" i="20"/>
  <c r="P268" i="20"/>
  <c r="O268" i="20"/>
  <c r="N266" i="20"/>
  <c r="N264" i="20" s="1"/>
  <c r="M266" i="20"/>
  <c r="M264" i="20" s="1"/>
  <c r="L266" i="20"/>
  <c r="L264" i="20" s="1"/>
  <c r="P265" i="20"/>
  <c r="O265" i="20"/>
  <c r="O262" i="20"/>
  <c r="N262" i="20"/>
  <c r="M262" i="20"/>
  <c r="P262" i="20" s="1"/>
  <c r="L262" i="20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I248" i="20"/>
  <c r="K248" i="20" s="1"/>
  <c r="K247" i="20"/>
  <c r="K246" i="20"/>
  <c r="I244" i="20"/>
  <c r="L242" i="20"/>
  <c r="L241" i="20"/>
  <c r="L240" i="20"/>
  <c r="L239" i="20"/>
  <c r="P238" i="20"/>
  <c r="N238" i="20"/>
  <c r="J237" i="20"/>
  <c r="J226" i="20" s="1"/>
  <c r="J180" i="20" s="1"/>
  <c r="J236" i="20"/>
  <c r="I236" i="20"/>
  <c r="K236" i="20" s="1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I190" i="20" s="1"/>
  <c r="P191" i="20"/>
  <c r="L191" i="20"/>
  <c r="O191" i="20" s="1"/>
  <c r="J190" i="20"/>
  <c r="N189" i="20"/>
  <c r="N187" i="20" s="1"/>
  <c r="M189" i="20"/>
  <c r="M187" i="20" s="1"/>
  <c r="P187" i="20" s="1"/>
  <c r="L189" i="20"/>
  <c r="L187" i="20" s="1"/>
  <c r="O187" i="20" s="1"/>
  <c r="P188" i="20"/>
  <c r="O188" i="20"/>
  <c r="N186" i="20"/>
  <c r="N184" i="20" s="1"/>
  <c r="M186" i="20"/>
  <c r="M184" i="20" s="1"/>
  <c r="L186" i="20"/>
  <c r="L184" i="20" s="1"/>
  <c r="P185" i="20"/>
  <c r="O185" i="20"/>
  <c r="N182" i="20"/>
  <c r="M182" i="20"/>
  <c r="P182" i="20" s="1"/>
  <c r="L182" i="20"/>
  <c r="J177" i="20"/>
  <c r="I176" i="20"/>
  <c r="I174" i="20" s="1"/>
  <c r="K174" i="20" s="1"/>
  <c r="J174" i="20"/>
  <c r="J164" i="20" s="1"/>
  <c r="N173" i="20"/>
  <c r="N171" i="20" s="1"/>
  <c r="M173" i="20"/>
  <c r="L173" i="20"/>
  <c r="L171" i="20" s="1"/>
  <c r="O171" i="20" s="1"/>
  <c r="P172" i="20"/>
  <c r="O172" i="20"/>
  <c r="N170" i="20"/>
  <c r="M170" i="20"/>
  <c r="M168" i="20" s="1"/>
  <c r="L170" i="20"/>
  <c r="P169" i="20"/>
  <c r="O169" i="20"/>
  <c r="N166" i="20"/>
  <c r="M166" i="20"/>
  <c r="P166" i="20" s="1"/>
  <c r="L166" i="20"/>
  <c r="I159" i="20"/>
  <c r="N157" i="20"/>
  <c r="N155" i="20" s="1"/>
  <c r="M157" i="20"/>
  <c r="M155" i="20" s="1"/>
  <c r="P155" i="20" s="1"/>
  <c r="L157" i="20"/>
  <c r="O157" i="20" s="1"/>
  <c r="P156" i="20"/>
  <c r="O156" i="20"/>
  <c r="N154" i="20"/>
  <c r="M154" i="20"/>
  <c r="L154" i="20"/>
  <c r="L152" i="20" s="1"/>
  <c r="O152" i="20" s="1"/>
  <c r="P153" i="20"/>
  <c r="O153" i="20"/>
  <c r="P150" i="20"/>
  <c r="O150" i="20"/>
  <c r="N150" i="20"/>
  <c r="M150" i="20"/>
  <c r="L150" i="20"/>
  <c r="J148" i="20"/>
  <c r="I146" i="20"/>
  <c r="K146" i="20" s="1"/>
  <c r="I145" i="20"/>
  <c r="I144" i="20"/>
  <c r="N140" i="20"/>
  <c r="N138" i="20" s="1"/>
  <c r="M140" i="20"/>
  <c r="P140" i="20" s="1"/>
  <c r="L140" i="20"/>
  <c r="P139" i="20"/>
  <c r="O139" i="20"/>
  <c r="N137" i="20"/>
  <c r="N135" i="20" s="1"/>
  <c r="M137" i="20"/>
  <c r="M135" i="20" s="1"/>
  <c r="P135" i="20" s="1"/>
  <c r="L137" i="20"/>
  <c r="L135" i="20" s="1"/>
  <c r="O135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M124" i="20"/>
  <c r="L124" i="20"/>
  <c r="L122" i="20" s="1"/>
  <c r="O122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K87" i="20" s="1"/>
  <c r="J98" i="20"/>
  <c r="I98" i="20"/>
  <c r="K98" i="20" s="1"/>
  <c r="N96" i="20"/>
  <c r="N94" i="20" s="1"/>
  <c r="M96" i="20"/>
  <c r="L96" i="20"/>
  <c r="L94" i="20" s="1"/>
  <c r="O94" i="20" s="1"/>
  <c r="P95" i="20"/>
  <c r="O95" i="20"/>
  <c r="N93" i="20"/>
  <c r="M93" i="20"/>
  <c r="M91" i="20" s="1"/>
  <c r="L93" i="20"/>
  <c r="P92" i="20"/>
  <c r="O92" i="20"/>
  <c r="N89" i="20"/>
  <c r="M89" i="20"/>
  <c r="P89" i="20" s="1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J77" i="20"/>
  <c r="J76" i="20"/>
  <c r="N74" i="20"/>
  <c r="M74" i="20"/>
  <c r="P74" i="20" s="1"/>
  <c r="L74" i="20"/>
  <c r="L72" i="20" s="1"/>
  <c r="O72" i="20" s="1"/>
  <c r="P73" i="20"/>
  <c r="O73" i="20"/>
  <c r="N71" i="20"/>
  <c r="N69" i="20" s="1"/>
  <c r="M71" i="20"/>
  <c r="L71" i="20"/>
  <c r="P70" i="20"/>
  <c r="O70" i="20"/>
  <c r="N67" i="20"/>
  <c r="M67" i="20"/>
  <c r="L67" i="20"/>
  <c r="O67" i="20" s="1"/>
  <c r="J65" i="20"/>
  <c r="J64" i="20"/>
  <c r="N61" i="20"/>
  <c r="N59" i="20" s="1"/>
  <c r="M61" i="20"/>
  <c r="L61" i="20"/>
  <c r="O61" i="20" s="1"/>
  <c r="P60" i="20"/>
  <c r="O60" i="20"/>
  <c r="N58" i="20"/>
  <c r="M58" i="20"/>
  <c r="M56" i="20" s="1"/>
  <c r="L58" i="20"/>
  <c r="L56" i="20" s="1"/>
  <c r="P57" i="20"/>
  <c r="O57" i="20"/>
  <c r="P54" i="20"/>
  <c r="O54" i="20"/>
  <c r="N54" i="20"/>
  <c r="M54" i="20"/>
  <c r="L54" i="20"/>
  <c r="N49" i="20"/>
  <c r="N47" i="20" s="1"/>
  <c r="M49" i="20"/>
  <c r="P49" i="20" s="1"/>
  <c r="L49" i="20"/>
  <c r="P48" i="20"/>
  <c r="O48" i="20"/>
  <c r="N46" i="20"/>
  <c r="M46" i="20"/>
  <c r="M44" i="20" s="1"/>
  <c r="L46" i="20"/>
  <c r="L44" i="20" s="1"/>
  <c r="P45" i="20"/>
  <c r="O45" i="20"/>
  <c r="P42" i="20"/>
  <c r="O42" i="20"/>
  <c r="N42" i="20"/>
  <c r="M42" i="20"/>
  <c r="L42" i="20"/>
  <c r="P36" i="20"/>
  <c r="N36" i="20"/>
  <c r="M36" i="20"/>
  <c r="N35" i="20"/>
  <c r="M35" i="20"/>
  <c r="L35" i="20"/>
  <c r="L15" i="20" s="1"/>
  <c r="O15" i="20" s="1"/>
  <c r="N32" i="20"/>
  <c r="M32" i="20"/>
  <c r="P32" i="20" s="1"/>
  <c r="L32" i="20"/>
  <c r="N29" i="20"/>
  <c r="P25" i="20"/>
  <c r="O25" i="20"/>
  <c r="N25" i="20"/>
  <c r="M25" i="20"/>
  <c r="L25" i="20"/>
  <c r="P22" i="20"/>
  <c r="O22" i="20"/>
  <c r="N22" i="20"/>
  <c r="M22" i="20"/>
  <c r="M19" i="20" s="1"/>
  <c r="L22" i="20"/>
  <c r="L19" i="20" s="1"/>
  <c r="P19" i="20"/>
  <c r="N19" i="20"/>
  <c r="N15" i="20"/>
  <c r="N12" i="20"/>
  <c r="N9" i="20" s="1"/>
  <c r="M12" i="20"/>
  <c r="P12" i="20" s="1"/>
  <c r="L12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8" i="19" s="1"/>
  <c r="P809" i="19"/>
  <c r="O809" i="19"/>
  <c r="P808" i="19"/>
  <c r="O808" i="19"/>
  <c r="M808" i="19"/>
  <c r="L808" i="19"/>
  <c r="O807" i="19"/>
  <c r="M807" i="19"/>
  <c r="P807" i="19" s="1"/>
  <c r="L807" i="19"/>
  <c r="N806" i="19"/>
  <c r="M806" i="19"/>
  <c r="P806" i="19" s="1"/>
  <c r="L806" i="19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O796" i="19"/>
  <c r="N796" i="19"/>
  <c r="M796" i="19"/>
  <c r="P796" i="19" s="1"/>
  <c r="L796" i="19"/>
  <c r="P791" i="19"/>
  <c r="N791" i="19"/>
  <c r="L791" i="19"/>
  <c r="O791" i="19" s="1"/>
  <c r="P790" i="19"/>
  <c r="O790" i="19"/>
  <c r="M789" i="19"/>
  <c r="P789" i="19" s="1"/>
  <c r="M788" i="19"/>
  <c r="M786" i="19" s="1"/>
  <c r="P786" i="19" s="1"/>
  <c r="P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P774" i="19"/>
  <c r="O774" i="19"/>
  <c r="O773" i="19"/>
  <c r="N773" i="19"/>
  <c r="M773" i="19"/>
  <c r="P773" i="19" s="1"/>
  <c r="L773" i="19"/>
  <c r="P772" i="19"/>
  <c r="N772" i="19"/>
  <c r="M772" i="19"/>
  <c r="L772" i="19"/>
  <c r="O772" i="19" s="1"/>
  <c r="P771" i="19"/>
  <c r="N771" i="19"/>
  <c r="M771" i="19"/>
  <c r="L771" i="19"/>
  <c r="O771" i="19" s="1"/>
  <c r="P770" i="19"/>
  <c r="N770" i="19"/>
  <c r="M770" i="19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O757" i="19"/>
  <c r="M757" i="19"/>
  <c r="P757" i="19" s="1"/>
  <c r="L757" i="19"/>
  <c r="P756" i="19"/>
  <c r="O756" i="19"/>
  <c r="M756" i="19"/>
  <c r="L756" i="19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P741" i="19"/>
  <c r="O741" i="19"/>
  <c r="O740" i="19"/>
  <c r="N740" i="19"/>
  <c r="M740" i="19"/>
  <c r="P740" i="19" s="1"/>
  <c r="L740" i="19"/>
  <c r="P739" i="19"/>
  <c r="N739" i="19"/>
  <c r="M739" i="19"/>
  <c r="L739" i="19"/>
  <c r="O739" i="19" s="1"/>
  <c r="P738" i="19"/>
  <c r="N738" i="19"/>
  <c r="M738" i="19"/>
  <c r="L738" i="19"/>
  <c r="O738" i="19" s="1"/>
  <c r="P737" i="19"/>
  <c r="N737" i="19"/>
  <c r="M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N690" i="19"/>
  <c r="N687" i="19" s="1"/>
  <c r="L690" i="19"/>
  <c r="O686" i="19"/>
  <c r="N686" i="19"/>
  <c r="N685" i="19" s="1"/>
  <c r="M686" i="19"/>
  <c r="P686" i="19" s="1"/>
  <c r="L686" i="19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P667" i="19"/>
  <c r="O667" i="19"/>
  <c r="P666" i="19"/>
  <c r="O666" i="19"/>
  <c r="N665" i="19"/>
  <c r="M665" i="19"/>
  <c r="P665" i="19" s="1"/>
  <c r="L665" i="19"/>
  <c r="O665" i="19" s="1"/>
  <c r="N660" i="19"/>
  <c r="L660" i="19"/>
  <c r="P659" i="19"/>
  <c r="O659" i="19"/>
  <c r="N658" i="19"/>
  <c r="N657" i="19"/>
  <c r="O656" i="19"/>
  <c r="N656" i="19"/>
  <c r="M656" i="19"/>
  <c r="L656" i="19"/>
  <c r="J654" i="19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N634" i="19"/>
  <c r="N631" i="19" s="1"/>
  <c r="L634" i="19"/>
  <c r="P633" i="19"/>
  <c r="O633" i="19"/>
  <c r="N632" i="19"/>
  <c r="N630" i="19"/>
  <c r="M630" i="19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J593" i="19" s="1"/>
  <c r="I594" i="19"/>
  <c r="I593" i="19"/>
  <c r="I592" i="19" s="1"/>
  <c r="J583" i="19"/>
  <c r="J577" i="19" s="1"/>
  <c r="J582" i="19"/>
  <c r="J576" i="19" s="1"/>
  <c r="J559" i="19" s="1"/>
  <c r="J543" i="19" s="1"/>
  <c r="I577" i="19"/>
  <c r="K577" i="19" s="1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N555" i="19"/>
  <c r="N545" i="19" s="1"/>
  <c r="N544" i="19" s="1"/>
  <c r="M555" i="19"/>
  <c r="P555" i="19" s="1"/>
  <c r="N549" i="19"/>
  <c r="N546" i="19" s="1"/>
  <c r="L549" i="19"/>
  <c r="P548" i="19"/>
  <c r="O548" i="19"/>
  <c r="N547" i="19"/>
  <c r="M545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I522" i="19" s="1"/>
  <c r="K522" i="19" s="1"/>
  <c r="P535" i="19"/>
  <c r="L535" i="19"/>
  <c r="L533" i="19" s="1"/>
  <c r="O533" i="19" s="1"/>
  <c r="P534" i="19"/>
  <c r="O534" i="19"/>
  <c r="P533" i="19"/>
  <c r="N533" i="19"/>
  <c r="M533" i="19"/>
  <c r="P528" i="19"/>
  <c r="N528" i="19"/>
  <c r="N525" i="19" s="1"/>
  <c r="L528" i="19"/>
  <c r="P527" i="19"/>
  <c r="O527" i="19"/>
  <c r="M526" i="19"/>
  <c r="P526" i="19" s="1"/>
  <c r="P525" i="19"/>
  <c r="M525" i="19"/>
  <c r="N524" i="19"/>
  <c r="M524" i="19"/>
  <c r="P524" i="19" s="1"/>
  <c r="L524" i="19"/>
  <c r="O524" i="19" s="1"/>
  <c r="N523" i="19"/>
  <c r="M523" i="19"/>
  <c r="P523" i="19" s="1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N504" i="19" s="1"/>
  <c r="P506" i="19"/>
  <c r="O506" i="19"/>
  <c r="M505" i="19"/>
  <c r="P505" i="19" s="1"/>
  <c r="L505" i="19"/>
  <c r="O505" i="19" s="1"/>
  <c r="P504" i="19"/>
  <c r="M504" i="19"/>
  <c r="L504" i="19"/>
  <c r="O504" i="19" s="1"/>
  <c r="N503" i="19"/>
  <c r="M503" i="19"/>
  <c r="P503" i="19" s="1"/>
  <c r="L503" i="19"/>
  <c r="O503" i="19" s="1"/>
  <c r="N502" i="19"/>
  <c r="M502" i="19"/>
  <c r="P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N477" i="19"/>
  <c r="M477" i="19"/>
  <c r="P477" i="19" s="1"/>
  <c r="N472" i="19"/>
  <c r="N469" i="19" s="1"/>
  <c r="L472" i="19"/>
  <c r="O472" i="19" s="1"/>
  <c r="P471" i="19"/>
  <c r="O471" i="19"/>
  <c r="N470" i="19"/>
  <c r="N468" i="19"/>
  <c r="N467" i="19" s="1"/>
  <c r="M468" i="19"/>
  <c r="P468" i="19" s="1"/>
  <c r="L468" i="19"/>
  <c r="J466" i="19"/>
  <c r="I466" i="19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P454" i="19"/>
  <c r="N454" i="19"/>
  <c r="M454" i="19"/>
  <c r="N449" i="19"/>
  <c r="L449" i="19"/>
  <c r="P448" i="19"/>
  <c r="O448" i="19"/>
  <c r="O445" i="19"/>
  <c r="N445" i="19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P430" i="19"/>
  <c r="O430" i="19"/>
  <c r="P429" i="19"/>
  <c r="N429" i="19"/>
  <c r="M429" i="19"/>
  <c r="N424" i="19"/>
  <c r="N422" i="19" s="1"/>
  <c r="L424" i="19"/>
  <c r="O424" i="19" s="1"/>
  <c r="P423" i="19"/>
  <c r="O423" i="19"/>
  <c r="N421" i="19"/>
  <c r="O420" i="19"/>
  <c r="N420" i="19"/>
  <c r="M420" i="19"/>
  <c r="P420" i="19" s="1"/>
  <c r="L420" i="19"/>
  <c r="J418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P407" i="19" s="1"/>
  <c r="L407" i="19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L395" i="19" s="1"/>
  <c r="O395" i="19" s="1"/>
  <c r="P396" i="19"/>
  <c r="O396" i="19"/>
  <c r="N394" i="19"/>
  <c r="N392" i="19" s="1"/>
  <c r="M394" i="19"/>
  <c r="L394" i="19"/>
  <c r="L392" i="19" s="1"/>
  <c r="O392" i="19" s="1"/>
  <c r="P393" i="19"/>
  <c r="O393" i="19"/>
  <c r="O390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L351" i="19" s="1"/>
  <c r="P352" i="19"/>
  <c r="O352" i="19"/>
  <c r="N350" i="19"/>
  <c r="N348" i="19" s="1"/>
  <c r="M350" i="19"/>
  <c r="M348" i="19" s="1"/>
  <c r="L350" i="19"/>
  <c r="P349" i="19"/>
  <c r="O349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L336" i="19"/>
  <c r="P335" i="19"/>
  <c r="O335" i="19"/>
  <c r="N333" i="19"/>
  <c r="N331" i="19" s="1"/>
  <c r="M333" i="19"/>
  <c r="L333" i="19"/>
  <c r="P332" i="19"/>
  <c r="O332" i="19"/>
  <c r="N329" i="19"/>
  <c r="M329" i="19"/>
  <c r="L329" i="19"/>
  <c r="I327" i="19"/>
  <c r="I325" i="19"/>
  <c r="K325" i="19" s="1"/>
  <c r="N323" i="19"/>
  <c r="N321" i="19" s="1"/>
  <c r="M323" i="19"/>
  <c r="L323" i="19"/>
  <c r="P322" i="19"/>
  <c r="O322" i="19"/>
  <c r="N320" i="19"/>
  <c r="M320" i="19"/>
  <c r="L320" i="19"/>
  <c r="L318" i="19" s="1"/>
  <c r="O318" i="19" s="1"/>
  <c r="P319" i="19"/>
  <c r="O319" i="19"/>
  <c r="P316" i="19"/>
  <c r="N316" i="19"/>
  <c r="M316" i="19"/>
  <c r="L316" i="19"/>
  <c r="J314" i="19"/>
  <c r="I314" i="19"/>
  <c r="K314" i="19" s="1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M304" i="19" s="1"/>
  <c r="P304" i="19" s="1"/>
  <c r="L306" i="19"/>
  <c r="P305" i="19"/>
  <c r="O305" i="19"/>
  <c r="N303" i="19"/>
  <c r="N301" i="19" s="1"/>
  <c r="M303" i="19"/>
  <c r="M301" i="19" s="1"/>
  <c r="L303" i="19"/>
  <c r="L301" i="19" s="1"/>
  <c r="P302" i="19"/>
  <c r="O302" i="19"/>
  <c r="P299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I275" i="19" s="1"/>
  <c r="K275" i="19" s="1"/>
  <c r="I287" i="19"/>
  <c r="I276" i="19" s="1"/>
  <c r="K276" i="19" s="1"/>
  <c r="N285" i="19"/>
  <c r="N283" i="19" s="1"/>
  <c r="M285" i="19"/>
  <c r="M283" i="19" s="1"/>
  <c r="P283" i="19" s="1"/>
  <c r="L285" i="19"/>
  <c r="P284" i="19"/>
  <c r="O284" i="19"/>
  <c r="N282" i="19"/>
  <c r="M282" i="19"/>
  <c r="L282" i="19"/>
  <c r="L280" i="19" s="1"/>
  <c r="O280" i="19" s="1"/>
  <c r="P281" i="19"/>
  <c r="O281" i="19"/>
  <c r="O278" i="19"/>
  <c r="N278" i="19"/>
  <c r="M278" i="19"/>
  <c r="L278" i="19"/>
  <c r="J276" i="19"/>
  <c r="I271" i="19"/>
  <c r="K271" i="19" s="1"/>
  <c r="N269" i="19"/>
  <c r="N267" i="19" s="1"/>
  <c r="M269" i="19"/>
  <c r="P269" i="19" s="1"/>
  <c r="L269" i="19"/>
  <c r="L267" i="19" s="1"/>
  <c r="O267" i="19" s="1"/>
  <c r="P268" i="19"/>
  <c r="O268" i="19"/>
  <c r="N266" i="19"/>
  <c r="N264" i="19" s="1"/>
  <c r="M266" i="19"/>
  <c r="L266" i="19"/>
  <c r="P265" i="19"/>
  <c r="O265" i="19"/>
  <c r="P262" i="19"/>
  <c r="N262" i="19"/>
  <c r="M262" i="19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I248" i="19"/>
  <c r="K248" i="19" s="1"/>
  <c r="K247" i="19"/>
  <c r="K246" i="19"/>
  <c r="I244" i="19"/>
  <c r="K244" i="19" s="1"/>
  <c r="L242" i="19"/>
  <c r="L241" i="19"/>
  <c r="L240" i="19"/>
  <c r="L239" i="19"/>
  <c r="P238" i="19"/>
  <c r="N238" i="19"/>
  <c r="J237" i="19"/>
  <c r="K236" i="19"/>
  <c r="J236" i="19"/>
  <c r="I236" i="19"/>
  <c r="J235" i="19"/>
  <c r="I235" i="19"/>
  <c r="K235" i="19" s="1"/>
  <c r="J233" i="19"/>
  <c r="N231" i="19"/>
  <c r="N230" i="19"/>
  <c r="N229" i="19"/>
  <c r="N228" i="19"/>
  <c r="N227" i="19"/>
  <c r="J226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I197" i="19"/>
  <c r="J194" i="19"/>
  <c r="I193" i="19"/>
  <c r="I190" i="19" s="1"/>
  <c r="K190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L184" i="19" s="1"/>
  <c r="P185" i="19"/>
  <c r="O185" i="19"/>
  <c r="P182" i="19"/>
  <c r="N182" i="19"/>
  <c r="M182" i="19"/>
  <c r="L182" i="19"/>
  <c r="O182" i="19" s="1"/>
  <c r="J180" i="19"/>
  <c r="J177" i="19"/>
  <c r="J164" i="19" s="1"/>
  <c r="I176" i="19"/>
  <c r="I174" i="19" s="1"/>
  <c r="I164" i="19" s="1"/>
  <c r="J174" i="19"/>
  <c r="N173" i="19"/>
  <c r="N171" i="19" s="1"/>
  <c r="M173" i="19"/>
  <c r="L173" i="19"/>
  <c r="O173" i="19" s="1"/>
  <c r="P172" i="19"/>
  <c r="O172" i="19"/>
  <c r="N170" i="19"/>
  <c r="N168" i="19" s="1"/>
  <c r="M170" i="19"/>
  <c r="M168" i="19" s="1"/>
  <c r="L170" i="19"/>
  <c r="L168" i="19" s="1"/>
  <c r="P169" i="19"/>
  <c r="O169" i="19"/>
  <c r="N166" i="19"/>
  <c r="M166" i="19"/>
  <c r="L166" i="19"/>
  <c r="O166" i="19" s="1"/>
  <c r="I159" i="19"/>
  <c r="I148" i="19" s="1"/>
  <c r="K148" i="19" s="1"/>
  <c r="N157" i="19"/>
  <c r="N155" i="19" s="1"/>
  <c r="M157" i="19"/>
  <c r="M155" i="19" s="1"/>
  <c r="P155" i="19" s="1"/>
  <c r="L157" i="19"/>
  <c r="L155" i="19" s="1"/>
  <c r="O155" i="19" s="1"/>
  <c r="P156" i="19"/>
  <c r="O156" i="19"/>
  <c r="N154" i="19"/>
  <c r="M154" i="19"/>
  <c r="L154" i="19"/>
  <c r="L152" i="19" s="1"/>
  <c r="P153" i="19"/>
  <c r="O153" i="19"/>
  <c r="O150" i="19"/>
  <c r="N150" i="19"/>
  <c r="M150" i="19"/>
  <c r="L150" i="19"/>
  <c r="J148" i="19"/>
  <c r="I146" i="19"/>
  <c r="K146" i="19" s="1"/>
  <c r="I145" i="19"/>
  <c r="I143" i="19" s="1"/>
  <c r="K143" i="19" s="1"/>
  <c r="I144" i="19"/>
  <c r="K144" i="19" s="1"/>
  <c r="N140" i="19"/>
  <c r="N138" i="19" s="1"/>
  <c r="M140" i="19"/>
  <c r="L140" i="19"/>
  <c r="P139" i="19"/>
  <c r="O139" i="19"/>
  <c r="N137" i="19"/>
  <c r="M137" i="19"/>
  <c r="P137" i="19" s="1"/>
  <c r="L137" i="19"/>
  <c r="L135" i="19" s="1"/>
  <c r="O135" i="19" s="1"/>
  <c r="P136" i="19"/>
  <c r="O136" i="19"/>
  <c r="P133" i="19"/>
  <c r="N133" i="19"/>
  <c r="M133" i="19"/>
  <c r="L133" i="19"/>
  <c r="J130" i="19"/>
  <c r="N127" i="19"/>
  <c r="N125" i="19" s="1"/>
  <c r="M127" i="19"/>
  <c r="M125" i="19" s="1"/>
  <c r="P125" i="19" s="1"/>
  <c r="L127" i="19"/>
  <c r="L125" i="19" s="1"/>
  <c r="O125" i="19" s="1"/>
  <c r="P126" i="19"/>
  <c r="O126" i="19"/>
  <c r="N124" i="19"/>
  <c r="M124" i="19"/>
  <c r="L124" i="19"/>
  <c r="O124" i="19" s="1"/>
  <c r="P123" i="19"/>
  <c r="O123" i="19"/>
  <c r="O120" i="19"/>
  <c r="N120" i="19"/>
  <c r="M120" i="19"/>
  <c r="L120" i="19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I87" i="19" s="1"/>
  <c r="K87" i="19" s="1"/>
  <c r="J98" i="19"/>
  <c r="I98" i="19"/>
  <c r="I86" i="19" s="1"/>
  <c r="K86" i="19" s="1"/>
  <c r="N96" i="19"/>
  <c r="N94" i="19" s="1"/>
  <c r="M96" i="19"/>
  <c r="P96" i="19" s="1"/>
  <c r="L96" i="19"/>
  <c r="O96" i="19" s="1"/>
  <c r="P95" i="19"/>
  <c r="O95" i="19"/>
  <c r="N93" i="19"/>
  <c r="N91" i="19" s="1"/>
  <c r="M93" i="19"/>
  <c r="L93" i="19"/>
  <c r="L91" i="19" s="1"/>
  <c r="P92" i="19"/>
  <c r="O92" i="19"/>
  <c r="O89" i="19"/>
  <c r="N89" i="19"/>
  <c r="M89" i="19"/>
  <c r="P89" i="19" s="1"/>
  <c r="L89" i="19"/>
  <c r="J87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L72" i="19" s="1"/>
  <c r="O72" i="19" s="1"/>
  <c r="P73" i="19"/>
  <c r="O73" i="19"/>
  <c r="N71" i="19"/>
  <c r="N69" i="19" s="1"/>
  <c r="M71" i="19"/>
  <c r="M69" i="19" s="1"/>
  <c r="P69" i="19" s="1"/>
  <c r="L71" i="19"/>
  <c r="O71" i="19" s="1"/>
  <c r="P70" i="19"/>
  <c r="O70" i="19"/>
  <c r="P67" i="19"/>
  <c r="N67" i="19"/>
  <c r="M67" i="19"/>
  <c r="L67" i="19"/>
  <c r="J64" i="19"/>
  <c r="N61" i="19"/>
  <c r="N59" i="19" s="1"/>
  <c r="M61" i="19"/>
  <c r="M59" i="19" s="1"/>
  <c r="P59" i="19" s="1"/>
  <c r="L61" i="19"/>
  <c r="P60" i="19"/>
  <c r="O60" i="19"/>
  <c r="N58" i="19"/>
  <c r="N56" i="19" s="1"/>
  <c r="M58" i="19"/>
  <c r="L58" i="19"/>
  <c r="L56" i="19" s="1"/>
  <c r="P57" i="19"/>
  <c r="O57" i="19"/>
  <c r="P54" i="19"/>
  <c r="O54" i="19"/>
  <c r="N54" i="19"/>
  <c r="M54" i="19"/>
  <c r="L54" i="19"/>
  <c r="N49" i="19"/>
  <c r="N47" i="19" s="1"/>
  <c r="M49" i="19"/>
  <c r="P49" i="19" s="1"/>
  <c r="L49" i="19"/>
  <c r="L47" i="19" s="1"/>
  <c r="O47" i="19" s="1"/>
  <c r="P48" i="19"/>
  <c r="O48" i="19"/>
  <c r="N46" i="19"/>
  <c r="M46" i="19"/>
  <c r="L46" i="19"/>
  <c r="L44" i="19" s="1"/>
  <c r="P45" i="19"/>
  <c r="O45" i="19"/>
  <c r="P42" i="19"/>
  <c r="O42" i="19"/>
  <c r="N42" i="19"/>
  <c r="M42" i="19"/>
  <c r="L42" i="19"/>
  <c r="N36" i="19"/>
  <c r="M36" i="19"/>
  <c r="P35" i="19"/>
  <c r="N35" i="19"/>
  <c r="N29" i="19" s="1"/>
  <c r="N28" i="19" s="1"/>
  <c r="M35" i="19"/>
  <c r="L35" i="19"/>
  <c r="N33" i="19"/>
  <c r="N30" i="19" s="1"/>
  <c r="O32" i="19"/>
  <c r="N32" i="19"/>
  <c r="M32" i="19"/>
  <c r="M29" i="19" s="1"/>
  <c r="L32" i="19"/>
  <c r="N31" i="19"/>
  <c r="P29" i="19"/>
  <c r="L29" i="19"/>
  <c r="O29" i="19" s="1"/>
  <c r="P25" i="19"/>
  <c r="O25" i="19"/>
  <c r="N25" i="19"/>
  <c r="N15" i="19" s="1"/>
  <c r="M25" i="19"/>
  <c r="L25" i="19"/>
  <c r="O22" i="19"/>
  <c r="N22" i="19"/>
  <c r="M22" i="19"/>
  <c r="P22" i="19" s="1"/>
  <c r="L22" i="19"/>
  <c r="O19" i="19"/>
  <c r="M19" i="19"/>
  <c r="L19" i="19"/>
  <c r="P15" i="19"/>
  <c r="M15" i="19"/>
  <c r="L15" i="19"/>
  <c r="M12" i="19"/>
  <c r="L12" i="19"/>
  <c r="L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O808" i="18"/>
  <c r="N808" i="18"/>
  <c r="M808" i="18"/>
  <c r="L808" i="18"/>
  <c r="O807" i="18"/>
  <c r="M807" i="18"/>
  <c r="L807" i="18"/>
  <c r="P806" i="18"/>
  <c r="N806" i="18"/>
  <c r="M806" i="18"/>
  <c r="L806" i="18"/>
  <c r="O806" i="18" s="1"/>
  <c r="K804" i="18"/>
  <c r="J804" i="18"/>
  <c r="J803" i="18"/>
  <c r="I803" i="18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N788" i="18" s="1"/>
  <c r="L791" i="18"/>
  <c r="L789" i="18" s="1"/>
  <c r="P790" i="18"/>
  <c r="O790" i="18"/>
  <c r="N789" i="18"/>
  <c r="P787" i="18"/>
  <c r="O787" i="18"/>
  <c r="N787" i="18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3" i="18" s="1"/>
  <c r="P774" i="18"/>
  <c r="O774" i="18"/>
  <c r="O773" i="18"/>
  <c r="M773" i="18"/>
  <c r="P773" i="18" s="1"/>
  <c r="L773" i="18"/>
  <c r="P772" i="18"/>
  <c r="O772" i="18"/>
  <c r="N772" i="18"/>
  <c r="N770" i="18" s="1"/>
  <c r="M772" i="18"/>
  <c r="L772" i="18"/>
  <c r="O771" i="18"/>
  <c r="N771" i="18"/>
  <c r="M771" i="18"/>
  <c r="L771" i="18"/>
  <c r="L770" i="18"/>
  <c r="O770" i="18" s="1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O757" i="18"/>
  <c r="N757" i="18"/>
  <c r="M757" i="18"/>
  <c r="P757" i="18" s="1"/>
  <c r="L757" i="18"/>
  <c r="P756" i="18"/>
  <c r="N756" i="18"/>
  <c r="N754" i="18" s="1"/>
  <c r="M756" i="18"/>
  <c r="L756" i="18"/>
  <c r="O756" i="18" s="1"/>
  <c r="P755" i="18"/>
  <c r="O755" i="18"/>
  <c r="N755" i="18"/>
  <c r="M755" i="18"/>
  <c r="L755" i="18"/>
  <c r="P754" i="18"/>
  <c r="M754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40" i="18" s="1"/>
  <c r="P741" i="18"/>
  <c r="O741" i="18"/>
  <c r="O740" i="18"/>
  <c r="M740" i="18"/>
  <c r="P740" i="18" s="1"/>
  <c r="L740" i="18"/>
  <c r="P739" i="18"/>
  <c r="O739" i="18"/>
  <c r="N739" i="18"/>
  <c r="N737" i="18" s="1"/>
  <c r="M739" i="18"/>
  <c r="L739" i="18"/>
  <c r="O738" i="18"/>
  <c r="N738" i="18"/>
  <c r="M738" i="18"/>
  <c r="L738" i="18"/>
  <c r="L737" i="18"/>
  <c r="O737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L688" i="18" s="1"/>
  <c r="O688" i="18" s="1"/>
  <c r="P688" i="18"/>
  <c r="M688" i="18"/>
  <c r="M687" i="18"/>
  <c r="P686" i="18"/>
  <c r="N686" i="18"/>
  <c r="M686" i="18"/>
  <c r="L686" i="18"/>
  <c r="J679" i="18"/>
  <c r="J678" i="18"/>
  <c r="I678" i="18"/>
  <c r="K678" i="18" s="1"/>
  <c r="J675" i="18"/>
  <c r="I671" i="18"/>
  <c r="K671" i="18" s="1"/>
  <c r="I670" i="18"/>
  <c r="K670" i="18" s="1"/>
  <c r="J669" i="18"/>
  <c r="I669" i="18"/>
  <c r="K673" i="18" s="1"/>
  <c r="P667" i="18"/>
  <c r="O667" i="18"/>
  <c r="P666" i="18"/>
  <c r="O666" i="18"/>
  <c r="P665" i="18"/>
  <c r="O665" i="18"/>
  <c r="N665" i="18"/>
  <c r="M665" i="18"/>
  <c r="L665" i="18"/>
  <c r="N660" i="18"/>
  <c r="L660" i="18"/>
  <c r="L657" i="18" s="1"/>
  <c r="O657" i="18" s="1"/>
  <c r="P659" i="18"/>
  <c r="O659" i="18"/>
  <c r="N658" i="18"/>
  <c r="N657" i="18"/>
  <c r="P656" i="18"/>
  <c r="N656" i="18"/>
  <c r="N655" i="18" s="1"/>
  <c r="M656" i="18"/>
  <c r="L656" i="18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N634" i="18"/>
  <c r="N632" i="18" s="1"/>
  <c r="L634" i="18"/>
  <c r="P633" i="18"/>
  <c r="O633" i="18"/>
  <c r="N631" i="18"/>
  <c r="N629" i="18" s="1"/>
  <c r="O630" i="18"/>
  <c r="N630" i="18"/>
  <c r="M630" i="18"/>
  <c r="L630" i="18"/>
  <c r="J621" i="18"/>
  <c r="I621" i="18"/>
  <c r="K621" i="18" s="1"/>
  <c r="J620" i="18"/>
  <c r="I620" i="18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K594" i="18" s="1"/>
  <c r="J593" i="18"/>
  <c r="I593" i="18"/>
  <c r="I592" i="18" s="1"/>
  <c r="J583" i="18"/>
  <c r="J582" i="18"/>
  <c r="J577" i="18"/>
  <c r="I577" i="18"/>
  <c r="J576" i="18"/>
  <c r="I576" i="18"/>
  <c r="J569" i="18"/>
  <c r="I569" i="18"/>
  <c r="K569" i="18" s="1"/>
  <c r="J568" i="18"/>
  <c r="I568" i="18"/>
  <c r="K568" i="18" s="1"/>
  <c r="J561" i="18"/>
  <c r="I561" i="18"/>
  <c r="J560" i="18"/>
  <c r="I560" i="18"/>
  <c r="K560" i="18" s="1"/>
  <c r="J559" i="18"/>
  <c r="J543" i="18" s="1"/>
  <c r="P557" i="18"/>
  <c r="L557" i="18"/>
  <c r="O557" i="18" s="1"/>
  <c r="P556" i="18"/>
  <c r="O556" i="18"/>
  <c r="N555" i="18"/>
  <c r="N545" i="18" s="1"/>
  <c r="M555" i="18"/>
  <c r="N549" i="18"/>
  <c r="N547" i="18" s="1"/>
  <c r="L549" i="18"/>
  <c r="P548" i="18"/>
  <c r="O548" i="18"/>
  <c r="N546" i="18"/>
  <c r="O545" i="18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I522" i="18" s="1"/>
  <c r="P535" i="18"/>
  <c r="L535" i="18"/>
  <c r="O535" i="18" s="1"/>
  <c r="P534" i="18"/>
  <c r="O534" i="18"/>
  <c r="P533" i="18"/>
  <c r="N533" i="18"/>
  <c r="M533" i="18"/>
  <c r="N528" i="18"/>
  <c r="L528" i="18"/>
  <c r="P527" i="18"/>
  <c r="O527" i="18"/>
  <c r="N526" i="18"/>
  <c r="N525" i="18"/>
  <c r="N524" i="18"/>
  <c r="M524" i="18"/>
  <c r="L524" i="18"/>
  <c r="N523" i="18"/>
  <c r="K517" i="18"/>
  <c r="J517" i="18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4" i="18" s="1"/>
  <c r="N502" i="18" s="1"/>
  <c r="P506" i="18"/>
  <c r="O506" i="18"/>
  <c r="P505" i="18"/>
  <c r="O505" i="18"/>
  <c r="M505" i="18"/>
  <c r="L505" i="18"/>
  <c r="P504" i="18"/>
  <c r="M504" i="18"/>
  <c r="L504" i="18"/>
  <c r="O504" i="18" s="1"/>
  <c r="N503" i="18"/>
  <c r="M503" i="18"/>
  <c r="L503" i="18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N477" i="18"/>
  <c r="M477" i="18"/>
  <c r="P477" i="18" s="1"/>
  <c r="N472" i="18"/>
  <c r="L472" i="18"/>
  <c r="P471" i="18"/>
  <c r="O471" i="18"/>
  <c r="N470" i="18"/>
  <c r="N469" i="18"/>
  <c r="P468" i="18"/>
  <c r="O468" i="18"/>
  <c r="N468" i="18"/>
  <c r="M468" i="18"/>
  <c r="L468" i="18"/>
  <c r="N467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I442" i="18" s="1"/>
  <c r="K442" i="18" s="1"/>
  <c r="K458" i="18"/>
  <c r="P456" i="18"/>
  <c r="L456" i="18"/>
  <c r="O456" i="18" s="1"/>
  <c r="P455" i="18"/>
  <c r="O455" i="18"/>
  <c r="P454" i="18"/>
  <c r="N454" i="18"/>
  <c r="M454" i="18"/>
  <c r="P449" i="18"/>
  <c r="N449" i="18"/>
  <c r="N446" i="18" s="1"/>
  <c r="N444" i="18" s="1"/>
  <c r="L449" i="18"/>
  <c r="P448" i="18"/>
  <c r="O448" i="18"/>
  <c r="P447" i="18"/>
  <c r="N447" i="18"/>
  <c r="M447" i="18"/>
  <c r="M446" i="18"/>
  <c r="P446" i="18" s="1"/>
  <c r="P445" i="18"/>
  <c r="N445" i="18"/>
  <c r="M445" i="18"/>
  <c r="L445" i="18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P431" i="18"/>
  <c r="L431" i="18"/>
  <c r="O431" i="18" s="1"/>
  <c r="P430" i="18"/>
  <c r="O430" i="18"/>
  <c r="P429" i="18"/>
  <c r="N429" i="18"/>
  <c r="M429" i="18"/>
  <c r="N424" i="18"/>
  <c r="L424" i="18"/>
  <c r="O424" i="18" s="1"/>
  <c r="P423" i="18"/>
  <c r="O423" i="18"/>
  <c r="O420" i="18"/>
  <c r="N420" i="18"/>
  <c r="M420" i="18"/>
  <c r="L420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L407" i="18"/>
  <c r="P406" i="18"/>
  <c r="O406" i="18"/>
  <c r="O403" i="18"/>
  <c r="N403" i="18"/>
  <c r="M403" i="18"/>
  <c r="L403" i="18"/>
  <c r="K401" i="18"/>
  <c r="J401" i="18"/>
  <c r="I401" i="18"/>
  <c r="K400" i="18"/>
  <c r="K399" i="18"/>
  <c r="N397" i="18"/>
  <c r="N395" i="18" s="1"/>
  <c r="M397" i="18"/>
  <c r="L397" i="18"/>
  <c r="O397" i="18" s="1"/>
  <c r="P396" i="18"/>
  <c r="O396" i="18"/>
  <c r="N394" i="18"/>
  <c r="M394" i="18"/>
  <c r="L394" i="18"/>
  <c r="O394" i="18" s="1"/>
  <c r="P393" i="18"/>
  <c r="O393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M350" i="18"/>
  <c r="L350" i="18"/>
  <c r="P349" i="18"/>
  <c r="O349" i="18"/>
  <c r="P346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L336" i="18"/>
  <c r="P335" i="18"/>
  <c r="O335" i="18"/>
  <c r="N333" i="18"/>
  <c r="M333" i="18"/>
  <c r="L333" i="18"/>
  <c r="P332" i="18"/>
  <c r="O332" i="18"/>
  <c r="P329" i="18"/>
  <c r="O329" i="18"/>
  <c r="N329" i="18"/>
  <c r="M329" i="18"/>
  <c r="L329" i="18"/>
  <c r="I327" i="18"/>
  <c r="I325" i="18"/>
  <c r="I314" i="18" s="1"/>
  <c r="K314" i="18" s="1"/>
  <c r="N323" i="18"/>
  <c r="N321" i="18" s="1"/>
  <c r="M323" i="18"/>
  <c r="L323" i="18"/>
  <c r="L321" i="18" s="1"/>
  <c r="O321" i="18" s="1"/>
  <c r="P322" i="18"/>
  <c r="O322" i="18"/>
  <c r="N320" i="18"/>
  <c r="M320" i="18"/>
  <c r="L320" i="18"/>
  <c r="L318" i="18" s="1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L306" i="18"/>
  <c r="O306" i="18" s="1"/>
  <c r="P305" i="18"/>
  <c r="O305" i="18"/>
  <c r="N303" i="18"/>
  <c r="N301" i="18" s="1"/>
  <c r="M303" i="18"/>
  <c r="M301" i="18" s="1"/>
  <c r="P301" i="18" s="1"/>
  <c r="L303" i="18"/>
  <c r="O303" i="18" s="1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L285" i="18"/>
  <c r="O285" i="18" s="1"/>
  <c r="P284" i="18"/>
  <c r="O284" i="18"/>
  <c r="N282" i="18"/>
  <c r="N280" i="18" s="1"/>
  <c r="M282" i="18"/>
  <c r="M280" i="18" s="1"/>
  <c r="L282" i="18"/>
  <c r="P281" i="18"/>
  <c r="O281" i="18"/>
  <c r="P278" i="18"/>
  <c r="N278" i="18"/>
  <c r="M278" i="18"/>
  <c r="L278" i="18"/>
  <c r="J276" i="18"/>
  <c r="I276" i="18"/>
  <c r="K276" i="18" s="1"/>
  <c r="I271" i="18"/>
  <c r="K271" i="18" s="1"/>
  <c r="N269" i="18"/>
  <c r="N267" i="18" s="1"/>
  <c r="M269" i="18"/>
  <c r="L269" i="18"/>
  <c r="L267" i="18" s="1"/>
  <c r="O267" i="18" s="1"/>
  <c r="P268" i="18"/>
  <c r="O268" i="18"/>
  <c r="N266" i="18"/>
  <c r="M266" i="18"/>
  <c r="L266" i="18"/>
  <c r="P265" i="18"/>
  <c r="O265" i="18"/>
  <c r="O262" i="18"/>
  <c r="N262" i="18"/>
  <c r="M262" i="18"/>
  <c r="P262" i="18" s="1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N227" i="18" s="1"/>
  <c r="J248" i="18"/>
  <c r="I248" i="18"/>
  <c r="K248" i="18" s="1"/>
  <c r="K247" i="18"/>
  <c r="K246" i="18"/>
  <c r="I244" i="18"/>
  <c r="L242" i="18"/>
  <c r="L241" i="18"/>
  <c r="L240" i="18"/>
  <c r="L239" i="18"/>
  <c r="P238" i="18"/>
  <c r="N238" i="18"/>
  <c r="J237" i="18"/>
  <c r="J226" i="18" s="1"/>
  <c r="J180" i="18" s="1"/>
  <c r="J236" i="18"/>
  <c r="I236" i="18"/>
  <c r="K236" i="18" s="1"/>
  <c r="J235" i="18"/>
  <c r="I235" i="18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M186" i="18"/>
  <c r="L186" i="18"/>
  <c r="P185" i="18"/>
  <c r="O185" i="18"/>
  <c r="P182" i="18"/>
  <c r="N182" i="18"/>
  <c r="M182" i="18"/>
  <c r="L182" i="18"/>
  <c r="J177" i="18"/>
  <c r="I176" i="18"/>
  <c r="J174" i="18"/>
  <c r="J164" i="18" s="1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M168" i="18" s="1"/>
  <c r="L170" i="18"/>
  <c r="P169" i="18"/>
  <c r="O169" i="18"/>
  <c r="P166" i="18"/>
  <c r="N166" i="18"/>
  <c r="M166" i="18"/>
  <c r="L166" i="18"/>
  <c r="I159" i="18"/>
  <c r="K159" i="18" s="1"/>
  <c r="N157" i="18"/>
  <c r="N155" i="18" s="1"/>
  <c r="M157" i="18"/>
  <c r="P157" i="18" s="1"/>
  <c r="L157" i="18"/>
  <c r="L155" i="18" s="1"/>
  <c r="O155" i="18" s="1"/>
  <c r="P156" i="18"/>
  <c r="O156" i="18"/>
  <c r="N154" i="18"/>
  <c r="N152" i="18" s="1"/>
  <c r="M154" i="18"/>
  <c r="L154" i="18"/>
  <c r="L152" i="18" s="1"/>
  <c r="O152" i="18" s="1"/>
  <c r="P153" i="18"/>
  <c r="O153" i="18"/>
  <c r="P150" i="18"/>
  <c r="N150" i="18"/>
  <c r="M150" i="18"/>
  <c r="L150" i="18"/>
  <c r="J148" i="18"/>
  <c r="I146" i="18"/>
  <c r="K146" i="18" s="1"/>
  <c r="I145" i="18"/>
  <c r="K145" i="18" s="1"/>
  <c r="I144" i="18"/>
  <c r="K144" i="18" s="1"/>
  <c r="N140" i="18"/>
  <c r="N138" i="18" s="1"/>
  <c r="M140" i="18"/>
  <c r="M138" i="18" s="1"/>
  <c r="P138" i="18" s="1"/>
  <c r="L140" i="18"/>
  <c r="P139" i="18"/>
  <c r="O139" i="18"/>
  <c r="N137" i="18"/>
  <c r="M137" i="18"/>
  <c r="L137" i="18"/>
  <c r="O137" i="18" s="1"/>
  <c r="P136" i="18"/>
  <c r="O136" i="18"/>
  <c r="O133" i="18"/>
  <c r="N133" i="18"/>
  <c r="M133" i="18"/>
  <c r="P133" i="18" s="1"/>
  <c r="L133" i="18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L124" i="18"/>
  <c r="O124" i="18" s="1"/>
  <c r="P123" i="18"/>
  <c r="O123" i="18"/>
  <c r="P120" i="18"/>
  <c r="N120" i="18"/>
  <c r="M120" i="18"/>
  <c r="L120" i="18"/>
  <c r="K118" i="18"/>
  <c r="J118" i="18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J98" i="18"/>
  <c r="I98" i="18"/>
  <c r="K98" i="18" s="1"/>
  <c r="N96" i="18"/>
  <c r="N94" i="18" s="1"/>
  <c r="M96" i="18"/>
  <c r="L96" i="18"/>
  <c r="P95" i="18"/>
  <c r="O95" i="18"/>
  <c r="N93" i="18"/>
  <c r="M93" i="18"/>
  <c r="M91" i="18" s="1"/>
  <c r="L93" i="18"/>
  <c r="P92" i="18"/>
  <c r="O92" i="18"/>
  <c r="P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K79" i="18" s="1"/>
  <c r="I78" i="18"/>
  <c r="K78" i="18" s="1"/>
  <c r="J77" i="18"/>
  <c r="J76" i="18"/>
  <c r="N74" i="18"/>
  <c r="N72" i="18" s="1"/>
  <c r="M74" i="18"/>
  <c r="L74" i="18"/>
  <c r="O74" i="18" s="1"/>
  <c r="P73" i="18"/>
  <c r="O73" i="18"/>
  <c r="N71" i="18"/>
  <c r="N69" i="18" s="1"/>
  <c r="M71" i="18"/>
  <c r="M69" i="18" s="1"/>
  <c r="L71" i="18"/>
  <c r="P70" i="18"/>
  <c r="O70" i="18"/>
  <c r="O67" i="18"/>
  <c r="N67" i="18"/>
  <c r="M67" i="18"/>
  <c r="L67" i="18"/>
  <c r="J65" i="18"/>
  <c r="J64" i="18"/>
  <c r="N61" i="18"/>
  <c r="N59" i="18" s="1"/>
  <c r="M61" i="18"/>
  <c r="L61" i="18"/>
  <c r="L59" i="18" s="1"/>
  <c r="P60" i="18"/>
  <c r="O60" i="18"/>
  <c r="N58" i="18"/>
  <c r="M58" i="18"/>
  <c r="L58" i="18"/>
  <c r="P57" i="18"/>
  <c r="O57" i="18"/>
  <c r="P54" i="18"/>
  <c r="N54" i="18"/>
  <c r="M54" i="18"/>
  <c r="L54" i="18"/>
  <c r="N49" i="18"/>
  <c r="M49" i="18"/>
  <c r="M47" i="18" s="1"/>
  <c r="P47" i="18" s="1"/>
  <c r="L49" i="18"/>
  <c r="P48" i="18"/>
  <c r="O48" i="18"/>
  <c r="N46" i="18"/>
  <c r="N44" i="18" s="1"/>
  <c r="M46" i="18"/>
  <c r="L46" i="18"/>
  <c r="P45" i="18"/>
  <c r="O45" i="18"/>
  <c r="O42" i="18"/>
  <c r="N42" i="18"/>
  <c r="M42" i="18"/>
  <c r="L42" i="18"/>
  <c r="N36" i="18"/>
  <c r="M36" i="18"/>
  <c r="P36" i="18" s="1"/>
  <c r="O35" i="18"/>
  <c r="N35" i="18"/>
  <c r="M35" i="18"/>
  <c r="M15" i="18" s="1"/>
  <c r="L35" i="18"/>
  <c r="N34" i="18"/>
  <c r="P32" i="18"/>
  <c r="N32" i="18"/>
  <c r="N29" i="18" s="1"/>
  <c r="M32" i="18"/>
  <c r="L32" i="18"/>
  <c r="P25" i="18"/>
  <c r="N25" i="18"/>
  <c r="M25" i="18"/>
  <c r="L25" i="18"/>
  <c r="O22" i="18"/>
  <c r="N22" i="18"/>
  <c r="M22" i="18"/>
  <c r="L22" i="18"/>
  <c r="M19" i="18"/>
  <c r="L19" i="18"/>
  <c r="P12" i="18"/>
  <c r="N12" i="18"/>
  <c r="M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N807" i="17" s="1"/>
  <c r="N805" i="17" s="1"/>
  <c r="P809" i="17"/>
  <c r="O809" i="17"/>
  <c r="P808" i="17"/>
  <c r="O808" i="17"/>
  <c r="N808" i="17"/>
  <c r="M808" i="17"/>
  <c r="L808" i="17"/>
  <c r="M807" i="17"/>
  <c r="L807" i="17"/>
  <c r="L805" i="17" s="1"/>
  <c r="P806" i="17"/>
  <c r="N806" i="17"/>
  <c r="M806" i="17"/>
  <c r="L806" i="17"/>
  <c r="O806" i="17" s="1"/>
  <c r="O805" i="17"/>
  <c r="K804" i="17"/>
  <c r="J804" i="17"/>
  <c r="K802" i="17"/>
  <c r="J801" i="17"/>
  <c r="J800" i="17"/>
  <c r="J785" i="17" s="1"/>
  <c r="I800" i="17"/>
  <c r="I785" i="17" s="1"/>
  <c r="K785" i="17" s="1"/>
  <c r="P798" i="17"/>
  <c r="O798" i="17"/>
  <c r="P797" i="17"/>
  <c r="O797" i="17"/>
  <c r="O796" i="17"/>
  <c r="N796" i="17"/>
  <c r="M796" i="17"/>
  <c r="P796" i="17" s="1"/>
  <c r="L796" i="17"/>
  <c r="P791" i="17"/>
  <c r="N791" i="17"/>
  <c r="N789" i="17" s="1"/>
  <c r="L791" i="17"/>
  <c r="L788" i="17" s="1"/>
  <c r="O788" i="17" s="1"/>
  <c r="P790" i="17"/>
  <c r="O790" i="17"/>
  <c r="P789" i="17"/>
  <c r="M789" i="17"/>
  <c r="N788" i="17"/>
  <c r="M788" i="17"/>
  <c r="M786" i="17" s="1"/>
  <c r="P786" i="17" s="1"/>
  <c r="P787" i="17"/>
  <c r="N787" i="17"/>
  <c r="N786" i="17" s="1"/>
  <c r="M787" i="17"/>
  <c r="L787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P774" i="17"/>
  <c r="O774" i="17"/>
  <c r="O773" i="17"/>
  <c r="N773" i="17"/>
  <c r="M773" i="17"/>
  <c r="P773" i="17" s="1"/>
  <c r="L773" i="17"/>
  <c r="P772" i="17"/>
  <c r="N772" i="17"/>
  <c r="M772" i="17"/>
  <c r="L772" i="17"/>
  <c r="P771" i="17"/>
  <c r="O771" i="17"/>
  <c r="N771" i="17"/>
  <c r="M771" i="17"/>
  <c r="L771" i="17"/>
  <c r="N770" i="17"/>
  <c r="M770" i="17"/>
  <c r="P770" i="17" s="1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O757" i="17"/>
  <c r="M757" i="17"/>
  <c r="P757" i="17" s="1"/>
  <c r="L757" i="17"/>
  <c r="P756" i="17"/>
  <c r="O756" i="17"/>
  <c r="M756" i="17"/>
  <c r="L756" i="17"/>
  <c r="N755" i="17"/>
  <c r="M755" i="17"/>
  <c r="L755" i="17"/>
  <c r="O755" i="17" s="1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P741" i="17"/>
  <c r="O741" i="17"/>
  <c r="O740" i="17"/>
  <c r="N740" i="17"/>
  <c r="M740" i="17"/>
  <c r="P740" i="17" s="1"/>
  <c r="L740" i="17"/>
  <c r="P739" i="17"/>
  <c r="N739" i="17"/>
  <c r="M739" i="17"/>
  <c r="L739" i="17"/>
  <c r="P738" i="17"/>
  <c r="O738" i="17"/>
  <c r="N738" i="17"/>
  <c r="M738" i="17"/>
  <c r="L738" i="17"/>
  <c r="N737" i="17"/>
  <c r="M737" i="17"/>
  <c r="P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N690" i="17"/>
  <c r="N687" i="17" s="1"/>
  <c r="L690" i="17"/>
  <c r="M690" i="17" s="1"/>
  <c r="O686" i="17"/>
  <c r="N686" i="17"/>
  <c r="M686" i="17"/>
  <c r="P686" i="17" s="1"/>
  <c r="L686" i="17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P667" i="17"/>
  <c r="O667" i="17"/>
  <c r="P666" i="17"/>
  <c r="O666" i="17"/>
  <c r="N665" i="17"/>
  <c r="M665" i="17"/>
  <c r="P665" i="17" s="1"/>
  <c r="L665" i="17"/>
  <c r="O665" i="17" s="1"/>
  <c r="N660" i="17"/>
  <c r="L660" i="17"/>
  <c r="M660" i="17" s="1"/>
  <c r="P659" i="17"/>
  <c r="O659" i="17"/>
  <c r="N658" i="17"/>
  <c r="N657" i="17"/>
  <c r="N655" i="17" s="1"/>
  <c r="P656" i="17"/>
  <c r="O656" i="17"/>
  <c r="N656" i="17"/>
  <c r="M656" i="17"/>
  <c r="L656" i="17"/>
  <c r="K652" i="17"/>
  <c r="J652" i="17"/>
  <c r="J651" i="17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N639" i="17"/>
  <c r="M639" i="17"/>
  <c r="P639" i="17" s="1"/>
  <c r="N634" i="17"/>
  <c r="L634" i="17"/>
  <c r="M634" i="17" s="1"/>
  <c r="P634" i="17" s="1"/>
  <c r="P633" i="17"/>
  <c r="O633" i="17"/>
  <c r="P630" i="17"/>
  <c r="O630" i="17"/>
  <c r="N630" i="17"/>
  <c r="M630" i="17"/>
  <c r="L630" i="17"/>
  <c r="J621" i="17"/>
  <c r="I621" i="17"/>
  <c r="K621" i="17" s="1"/>
  <c r="J620" i="17"/>
  <c r="I620" i="17"/>
  <c r="K613" i="17"/>
  <c r="J613" i="17"/>
  <c r="K612" i="17"/>
  <c r="J612" i="17"/>
  <c r="K611" i="17"/>
  <c r="J611" i="17"/>
  <c r="J604" i="17"/>
  <c r="J594" i="17" s="1"/>
  <c r="J603" i="17"/>
  <c r="J596" i="17"/>
  <c r="J595" i="17"/>
  <c r="I594" i="17"/>
  <c r="J593" i="17"/>
  <c r="I593" i="17"/>
  <c r="J592" i="17"/>
  <c r="J583" i="17"/>
  <c r="J582" i="17"/>
  <c r="J577" i="17"/>
  <c r="I577" i="17"/>
  <c r="J576" i="17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L555" i="17" s="1"/>
  <c r="O555" i="17" s="1"/>
  <c r="P556" i="17"/>
  <c r="O556" i="17"/>
  <c r="N555" i="17"/>
  <c r="N545" i="17" s="1"/>
  <c r="M555" i="17"/>
  <c r="P555" i="17" s="1"/>
  <c r="N549" i="17"/>
  <c r="N546" i="17" s="1"/>
  <c r="L549" i="17"/>
  <c r="M549" i="17" s="1"/>
  <c r="P549" i="17" s="1"/>
  <c r="P548" i="17"/>
  <c r="O548" i="17"/>
  <c r="P545" i="17"/>
  <c r="O545" i="17"/>
  <c r="M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I522" i="17" s="1"/>
  <c r="K522" i="17" s="1"/>
  <c r="P535" i="17"/>
  <c r="L535" i="17"/>
  <c r="P534" i="17"/>
  <c r="O534" i="17"/>
  <c r="P533" i="17"/>
  <c r="N533" i="17"/>
  <c r="M533" i="17"/>
  <c r="P528" i="17"/>
  <c r="N528" i="17"/>
  <c r="L528" i="17"/>
  <c r="L526" i="17" s="1"/>
  <c r="O526" i="17" s="1"/>
  <c r="P527" i="17"/>
  <c r="O527" i="17"/>
  <c r="M526" i="17"/>
  <c r="P526" i="17" s="1"/>
  <c r="P525" i="17"/>
  <c r="M525" i="17"/>
  <c r="N524" i="17"/>
  <c r="M524" i="17"/>
  <c r="P524" i="17" s="1"/>
  <c r="L524" i="17"/>
  <c r="M523" i="17"/>
  <c r="P523" i="17" s="1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N505" i="17" s="1"/>
  <c r="P506" i="17"/>
  <c r="O506" i="17"/>
  <c r="M505" i="17"/>
  <c r="P505" i="17" s="1"/>
  <c r="L505" i="17"/>
  <c r="O505" i="17" s="1"/>
  <c r="P504" i="17"/>
  <c r="O504" i="17"/>
  <c r="N504" i="17"/>
  <c r="M504" i="17"/>
  <c r="L504" i="17"/>
  <c r="P503" i="17"/>
  <c r="N503" i="17"/>
  <c r="N502" i="17" s="1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N470" i="17" s="1"/>
  <c r="L472" i="17"/>
  <c r="P471" i="17"/>
  <c r="O471" i="17"/>
  <c r="N469" i="17"/>
  <c r="N467" i="17" s="1"/>
  <c r="O468" i="17"/>
  <c r="N468" i="17"/>
  <c r="M468" i="17"/>
  <c r="L468" i="17"/>
  <c r="J466" i="17"/>
  <c r="I466" i="17"/>
  <c r="K466" i="17" s="1"/>
  <c r="J465" i="17"/>
  <c r="I465" i="17"/>
  <c r="I464" i="17"/>
  <c r="I463" i="17"/>
  <c r="I462" i="17"/>
  <c r="K462" i="17" s="1"/>
  <c r="I460" i="17"/>
  <c r="K460" i="17" s="1"/>
  <c r="K458" i="17"/>
  <c r="P456" i="17"/>
  <c r="L456" i="17"/>
  <c r="P455" i="17"/>
  <c r="O455" i="17"/>
  <c r="P454" i="17"/>
  <c r="N454" i="17"/>
  <c r="M454" i="17"/>
  <c r="N449" i="17"/>
  <c r="L449" i="17"/>
  <c r="L447" i="17" s="1"/>
  <c r="P448" i="17"/>
  <c r="O448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K435" i="17" s="1"/>
  <c r="J434" i="17"/>
  <c r="P431" i="17"/>
  <c r="L431" i="17"/>
  <c r="L429" i="17" s="1"/>
  <c r="O429" i="17" s="1"/>
  <c r="P430" i="17"/>
  <c r="O430" i="17"/>
  <c r="P429" i="17"/>
  <c r="N429" i="17"/>
  <c r="M429" i="17"/>
  <c r="N424" i="17"/>
  <c r="N422" i="17" s="1"/>
  <c r="L424" i="17"/>
  <c r="O424" i="17" s="1"/>
  <c r="P423" i="17"/>
  <c r="O423" i="17"/>
  <c r="N421" i="17"/>
  <c r="N420" i="17"/>
  <c r="N419" i="17" s="1"/>
  <c r="M420" i="17"/>
  <c r="P420" i="17" s="1"/>
  <c r="L420" i="17"/>
  <c r="J418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M407" i="17"/>
  <c r="P407" i="17" s="1"/>
  <c r="L407" i="17"/>
  <c r="P406" i="17"/>
  <c r="O406" i="17"/>
  <c r="O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P397" i="17" s="1"/>
  <c r="L397" i="17"/>
  <c r="L395" i="17" s="1"/>
  <c r="O395" i="17" s="1"/>
  <c r="P396" i="17"/>
  <c r="O396" i="17"/>
  <c r="N394" i="17"/>
  <c r="N392" i="17" s="1"/>
  <c r="M394" i="17"/>
  <c r="L394" i="17"/>
  <c r="O394" i="17" s="1"/>
  <c r="P393" i="17"/>
  <c r="O393" i="17"/>
  <c r="N390" i="17"/>
  <c r="M390" i="17"/>
  <c r="P390" i="17" s="1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M350" i="17"/>
  <c r="L350" i="17"/>
  <c r="L348" i="17" s="1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L336" i="17"/>
  <c r="L334" i="17" s="1"/>
  <c r="O334" i="17" s="1"/>
  <c r="P335" i="17"/>
  <c r="O335" i="17"/>
  <c r="N333" i="17"/>
  <c r="N331" i="17" s="1"/>
  <c r="M333" i="17"/>
  <c r="M331" i="17" s="1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M323" i="17"/>
  <c r="L323" i="17"/>
  <c r="L321" i="17" s="1"/>
  <c r="O321" i="17" s="1"/>
  <c r="P322" i="17"/>
  <c r="O322" i="17"/>
  <c r="N320" i="17"/>
  <c r="N318" i="17" s="1"/>
  <c r="M320" i="17"/>
  <c r="L320" i="17"/>
  <c r="P319" i="17"/>
  <c r="O319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I297" i="17" s="1"/>
  <c r="K297" i="17" s="1"/>
  <c r="N306" i="17"/>
  <c r="N304" i="17" s="1"/>
  <c r="M306" i="17"/>
  <c r="P306" i="17" s="1"/>
  <c r="L306" i="17"/>
  <c r="P305" i="17"/>
  <c r="O305" i="17"/>
  <c r="N303" i="17"/>
  <c r="M303" i="17"/>
  <c r="L303" i="17"/>
  <c r="L301" i="17" s="1"/>
  <c r="P302" i="17"/>
  <c r="O302" i="17"/>
  <c r="P299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I276" i="17" s="1"/>
  <c r="K276" i="17" s="1"/>
  <c r="N285" i="17"/>
  <c r="N283" i="17" s="1"/>
  <c r="M285" i="17"/>
  <c r="M283" i="17" s="1"/>
  <c r="P283" i="17" s="1"/>
  <c r="L285" i="17"/>
  <c r="P284" i="17"/>
  <c r="O284" i="17"/>
  <c r="N282" i="17"/>
  <c r="M282" i="17"/>
  <c r="L282" i="17"/>
  <c r="P281" i="17"/>
  <c r="O281" i="17"/>
  <c r="O278" i="17"/>
  <c r="N278" i="17"/>
  <c r="M278" i="17"/>
  <c r="L278" i="17"/>
  <c r="J276" i="17"/>
  <c r="I271" i="17"/>
  <c r="N269" i="17"/>
  <c r="N267" i="17" s="1"/>
  <c r="M269" i="17"/>
  <c r="M267" i="17" s="1"/>
  <c r="P267" i="17" s="1"/>
  <c r="L269" i="17"/>
  <c r="L267" i="17" s="1"/>
  <c r="O267" i="17" s="1"/>
  <c r="P268" i="17"/>
  <c r="O268" i="17"/>
  <c r="N266" i="17"/>
  <c r="N264" i="17" s="1"/>
  <c r="M266" i="17"/>
  <c r="L266" i="17"/>
  <c r="P265" i="17"/>
  <c r="O265" i="17"/>
  <c r="N262" i="17"/>
  <c r="M262" i="17"/>
  <c r="P262" i="17" s="1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J226" i="17"/>
  <c r="J180" i="17" s="1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I208" i="17"/>
  <c r="K208" i="17" s="1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P189" i="17" s="1"/>
  <c r="L189" i="17"/>
  <c r="O189" i="17" s="1"/>
  <c r="P188" i="17"/>
  <c r="O188" i="17"/>
  <c r="N186" i="17"/>
  <c r="N184" i="17" s="1"/>
  <c r="M186" i="17"/>
  <c r="L186" i="17"/>
  <c r="P185" i="17"/>
  <c r="O185" i="17"/>
  <c r="P182" i="17"/>
  <c r="N182" i="17"/>
  <c r="M182" i="17"/>
  <c r="L182" i="17"/>
  <c r="J177" i="17"/>
  <c r="J164" i="17" s="1"/>
  <c r="I176" i="17"/>
  <c r="K176" i="17" s="1"/>
  <c r="J174" i="17"/>
  <c r="N173" i="17"/>
  <c r="M173" i="17"/>
  <c r="P173" i="17" s="1"/>
  <c r="L173" i="17"/>
  <c r="P172" i="17"/>
  <c r="O172" i="17"/>
  <c r="N170" i="17"/>
  <c r="N168" i="17" s="1"/>
  <c r="M170" i="17"/>
  <c r="L170" i="17"/>
  <c r="P169" i="17"/>
  <c r="O169" i="17"/>
  <c r="P166" i="17"/>
  <c r="N166" i="17"/>
  <c r="M166" i="17"/>
  <c r="L166" i="17"/>
  <c r="I159" i="17"/>
  <c r="K159" i="17" s="1"/>
  <c r="N157" i="17"/>
  <c r="N155" i="17" s="1"/>
  <c r="M157" i="17"/>
  <c r="L157" i="17"/>
  <c r="L155" i="17" s="1"/>
  <c r="O155" i="17" s="1"/>
  <c r="P156" i="17"/>
  <c r="O156" i="17"/>
  <c r="N154" i="17"/>
  <c r="M154" i="17"/>
  <c r="L154" i="17"/>
  <c r="P153" i="17"/>
  <c r="O153" i="17"/>
  <c r="P150" i="17"/>
  <c r="O150" i="17"/>
  <c r="N150" i="17"/>
  <c r="M150" i="17"/>
  <c r="L150" i="17"/>
  <c r="J148" i="17"/>
  <c r="I146" i="17"/>
  <c r="I145" i="17"/>
  <c r="I144" i="17"/>
  <c r="K144" i="17" s="1"/>
  <c r="N140" i="17"/>
  <c r="N138" i="17" s="1"/>
  <c r="M140" i="17"/>
  <c r="P140" i="17" s="1"/>
  <c r="L140" i="17"/>
  <c r="O140" i="17" s="1"/>
  <c r="P139" i="17"/>
  <c r="O139" i="17"/>
  <c r="N137" i="17"/>
  <c r="N135" i="17" s="1"/>
  <c r="M137" i="17"/>
  <c r="P137" i="17" s="1"/>
  <c r="L137" i="17"/>
  <c r="P136" i="17"/>
  <c r="O136" i="17"/>
  <c r="O133" i="17"/>
  <c r="N133" i="17"/>
  <c r="M133" i="17"/>
  <c r="L133" i="17"/>
  <c r="J130" i="17"/>
  <c r="N127" i="17"/>
  <c r="N125" i="17" s="1"/>
  <c r="M127" i="17"/>
  <c r="L127" i="17"/>
  <c r="L125" i="17" s="1"/>
  <c r="O125" i="17" s="1"/>
  <c r="P126" i="17"/>
  <c r="O126" i="17"/>
  <c r="N124" i="17"/>
  <c r="M124" i="17"/>
  <c r="P124" i="17" s="1"/>
  <c r="L124" i="17"/>
  <c r="O124" i="17" s="1"/>
  <c r="P123" i="17"/>
  <c r="O123" i="17"/>
  <c r="P120" i="17"/>
  <c r="O120" i="17"/>
  <c r="N120" i="17"/>
  <c r="M120" i="17"/>
  <c r="L120" i="17"/>
  <c r="K118" i="17"/>
  <c r="J118" i="17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I87" i="17" s="1"/>
  <c r="K87" i="17" s="1"/>
  <c r="J98" i="17"/>
  <c r="I98" i="17"/>
  <c r="I86" i="17" s="1"/>
  <c r="K86" i="17" s="1"/>
  <c r="N96" i="17"/>
  <c r="N94" i="17" s="1"/>
  <c r="M96" i="17"/>
  <c r="M94" i="17" s="1"/>
  <c r="P94" i="17" s="1"/>
  <c r="L96" i="17"/>
  <c r="L94" i="17" s="1"/>
  <c r="O94" i="17" s="1"/>
  <c r="P95" i="17"/>
  <c r="O95" i="17"/>
  <c r="N93" i="17"/>
  <c r="N91" i="17" s="1"/>
  <c r="M93" i="17"/>
  <c r="L93" i="17"/>
  <c r="L91" i="17" s="1"/>
  <c r="P92" i="17"/>
  <c r="O92" i="17"/>
  <c r="N89" i="17"/>
  <c r="M89" i="17"/>
  <c r="P89" i="17" s="1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I79" i="17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N69" i="17" s="1"/>
  <c r="M71" i="17"/>
  <c r="M69" i="17" s="1"/>
  <c r="L71" i="17"/>
  <c r="L69" i="17" s="1"/>
  <c r="P70" i="17"/>
  <c r="O70" i="17"/>
  <c r="O67" i="17"/>
  <c r="N67" i="17"/>
  <c r="M67" i="17"/>
  <c r="L67" i="17"/>
  <c r="J65" i="17"/>
  <c r="N61" i="17"/>
  <c r="M61" i="17"/>
  <c r="P61" i="17" s="1"/>
  <c r="L61" i="17"/>
  <c r="L59" i="17" s="1"/>
  <c r="O59" i="17" s="1"/>
  <c r="P60" i="17"/>
  <c r="O60" i="17"/>
  <c r="N58" i="17"/>
  <c r="N56" i="17" s="1"/>
  <c r="M58" i="17"/>
  <c r="L58" i="17"/>
  <c r="L56" i="17" s="1"/>
  <c r="P57" i="17"/>
  <c r="O57" i="17"/>
  <c r="P54" i="17"/>
  <c r="N54" i="17"/>
  <c r="M54" i="17"/>
  <c r="L54" i="17"/>
  <c r="N49" i="17"/>
  <c r="N47" i="17" s="1"/>
  <c r="M49" i="17"/>
  <c r="L49" i="17"/>
  <c r="P48" i="17"/>
  <c r="O48" i="17"/>
  <c r="N46" i="17"/>
  <c r="N44" i="17" s="1"/>
  <c r="M46" i="17"/>
  <c r="M44" i="17" s="1"/>
  <c r="L46" i="17"/>
  <c r="P45" i="17"/>
  <c r="O45" i="17"/>
  <c r="O42" i="17"/>
  <c r="N42" i="17"/>
  <c r="M42" i="17"/>
  <c r="L42" i="17"/>
  <c r="P36" i="17"/>
  <c r="N36" i="17"/>
  <c r="N34" i="17" s="1"/>
  <c r="M36" i="17"/>
  <c r="O35" i="17"/>
  <c r="N35" i="17"/>
  <c r="M35" i="17"/>
  <c r="L35" i="17"/>
  <c r="N32" i="17"/>
  <c r="M32" i="17"/>
  <c r="M29" i="17" s="1"/>
  <c r="L32" i="17"/>
  <c r="L29" i="17" s="1"/>
  <c r="P25" i="17"/>
  <c r="N25" i="17"/>
  <c r="M25" i="17"/>
  <c r="L25" i="17"/>
  <c r="O22" i="17"/>
  <c r="N22" i="17"/>
  <c r="M22" i="17"/>
  <c r="L22" i="17"/>
  <c r="N19" i="17"/>
  <c r="L19" i="17"/>
  <c r="P15" i="17"/>
  <c r="O15" i="17"/>
  <c r="N15" i="17"/>
  <c r="M15" i="17"/>
  <c r="L15" i="17"/>
  <c r="N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8" i="16" s="1"/>
  <c r="P809" i="16"/>
  <c r="O809" i="16"/>
  <c r="P808" i="16"/>
  <c r="O808" i="16"/>
  <c r="M808" i="16"/>
  <c r="L808" i="16"/>
  <c r="O807" i="16"/>
  <c r="M807" i="16"/>
  <c r="P807" i="16" s="1"/>
  <c r="L807" i="16"/>
  <c r="N806" i="16"/>
  <c r="M806" i="16"/>
  <c r="P806" i="16" s="1"/>
  <c r="L806" i="16"/>
  <c r="K804" i="16"/>
  <c r="J804" i="16"/>
  <c r="K802" i="16"/>
  <c r="J801" i="16"/>
  <c r="J800" i="16"/>
  <c r="J785" i="16" s="1"/>
  <c r="I800" i="16"/>
  <c r="K800" i="16" s="1"/>
  <c r="P798" i="16"/>
  <c r="O798" i="16"/>
  <c r="P797" i="16"/>
  <c r="O797" i="16"/>
  <c r="O796" i="16"/>
  <c r="N796" i="16"/>
  <c r="M796" i="16"/>
  <c r="P796" i="16" s="1"/>
  <c r="L796" i="16"/>
  <c r="P791" i="16"/>
  <c r="N791" i="16"/>
  <c r="L791" i="16"/>
  <c r="L789" i="16" s="1"/>
  <c r="O789" i="16" s="1"/>
  <c r="P790" i="16"/>
  <c r="O790" i="16"/>
  <c r="M789" i="16"/>
  <c r="P789" i="16" s="1"/>
  <c r="M788" i="16"/>
  <c r="M786" i="16" s="1"/>
  <c r="P786" i="16" s="1"/>
  <c r="P787" i="16"/>
  <c r="N787" i="16"/>
  <c r="M787" i="16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N773" i="16" s="1"/>
  <c r="P774" i="16"/>
  <c r="O774" i="16"/>
  <c r="O773" i="16"/>
  <c r="M773" i="16"/>
  <c r="P773" i="16" s="1"/>
  <c r="L773" i="16"/>
  <c r="P772" i="16"/>
  <c r="N772" i="16"/>
  <c r="M772" i="16"/>
  <c r="L772" i="16"/>
  <c r="O772" i="16" s="1"/>
  <c r="N771" i="16"/>
  <c r="M771" i="16"/>
  <c r="P771" i="16" s="1"/>
  <c r="L771" i="16"/>
  <c r="O771" i="16" s="1"/>
  <c r="N770" i="16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N740" i="16" s="1"/>
  <c r="P741" i="16"/>
  <c r="O741" i="16"/>
  <c r="O740" i="16"/>
  <c r="M740" i="16"/>
  <c r="P740" i="16" s="1"/>
  <c r="L740" i="16"/>
  <c r="P739" i="16"/>
  <c r="N739" i="16"/>
  <c r="M739" i="16"/>
  <c r="L739" i="16"/>
  <c r="O739" i="16" s="1"/>
  <c r="N738" i="16"/>
  <c r="M738" i="16"/>
  <c r="P738" i="16" s="1"/>
  <c r="L738" i="16"/>
  <c r="O738" i="16" s="1"/>
  <c r="N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O695" i="16"/>
  <c r="N695" i="16"/>
  <c r="M695" i="16"/>
  <c r="P695" i="16" s="1"/>
  <c r="L695" i="16"/>
  <c r="N690" i="16"/>
  <c r="N687" i="16" s="1"/>
  <c r="L690" i="16"/>
  <c r="L687" i="16" s="1"/>
  <c r="O687" i="16" s="1"/>
  <c r="O686" i="16"/>
  <c r="N686" i="16"/>
  <c r="M686" i="16"/>
  <c r="P686" i="16" s="1"/>
  <c r="L686" i="16"/>
  <c r="N685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3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N657" i="16" s="1"/>
  <c r="L660" i="16"/>
  <c r="L657" i="16" s="1"/>
  <c r="O657" i="16" s="1"/>
  <c r="P659" i="16"/>
  <c r="O659" i="16"/>
  <c r="P658" i="16"/>
  <c r="N658" i="16"/>
  <c r="M658" i="16"/>
  <c r="M657" i="16"/>
  <c r="P656" i="16"/>
  <c r="N656" i="16"/>
  <c r="N655" i="16" s="1"/>
  <c r="M656" i="16"/>
  <c r="L656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N634" i="16"/>
  <c r="N632" i="16" s="1"/>
  <c r="L634" i="16"/>
  <c r="O634" i="16" s="1"/>
  <c r="P633" i="16"/>
  <c r="O633" i="16"/>
  <c r="N631" i="16"/>
  <c r="N629" i="16" s="1"/>
  <c r="O630" i="16"/>
  <c r="N630" i="16"/>
  <c r="M630" i="16"/>
  <c r="P630" i="16" s="1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2" i="16" s="1"/>
  <c r="J596" i="16"/>
  <c r="J594" i="16" s="1"/>
  <c r="J595" i="16"/>
  <c r="I594" i="16"/>
  <c r="K594" i="16" s="1"/>
  <c r="I593" i="16"/>
  <c r="I592" i="16" s="1"/>
  <c r="J583" i="16"/>
  <c r="J582" i="16"/>
  <c r="J576" i="16" s="1"/>
  <c r="J559" i="16" s="1"/>
  <c r="J543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M555" i="16"/>
  <c r="N549" i="16"/>
  <c r="N547" i="16" s="1"/>
  <c r="L549" i="16"/>
  <c r="L547" i="16" s="1"/>
  <c r="O547" i="16" s="1"/>
  <c r="P548" i="16"/>
  <c r="O548" i="16"/>
  <c r="N546" i="16"/>
  <c r="O545" i="16"/>
  <c r="N545" i="16"/>
  <c r="L545" i="16"/>
  <c r="N544" i="16"/>
  <c r="I542" i="16"/>
  <c r="K542" i="16" s="1"/>
  <c r="I541" i="16"/>
  <c r="K541" i="16" s="1"/>
  <c r="I540" i="16"/>
  <c r="K540" i="16" s="1"/>
  <c r="I539" i="16"/>
  <c r="I538" i="16"/>
  <c r="K538" i="16" s="1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P528" i="16"/>
  <c r="N528" i="16"/>
  <c r="L528" i="16"/>
  <c r="P527" i="16"/>
  <c r="O527" i="16"/>
  <c r="N526" i="16"/>
  <c r="M526" i="16"/>
  <c r="P526" i="16" s="1"/>
  <c r="P525" i="16"/>
  <c r="N525" i="16"/>
  <c r="N523" i="16" s="1"/>
  <c r="M525" i="16"/>
  <c r="O524" i="16"/>
  <c r="N524" i="16"/>
  <c r="M524" i="16"/>
  <c r="L524" i="16"/>
  <c r="K517" i="16"/>
  <c r="J517" i="16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P506" i="16"/>
  <c r="O506" i="16"/>
  <c r="O505" i="16"/>
  <c r="M505" i="16"/>
  <c r="P505" i="16" s="1"/>
  <c r="L505" i="16"/>
  <c r="P504" i="16"/>
  <c r="M504" i="16"/>
  <c r="L504" i="16"/>
  <c r="O504" i="16" s="1"/>
  <c r="O503" i="16"/>
  <c r="N503" i="16"/>
  <c r="M503" i="16"/>
  <c r="L503" i="16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N472" i="16"/>
  <c r="N469" i="16" s="1"/>
  <c r="L472" i="16"/>
  <c r="P471" i="16"/>
  <c r="O471" i="16"/>
  <c r="P468" i="16"/>
  <c r="N468" i="16"/>
  <c r="N467" i="16" s="1"/>
  <c r="M468" i="16"/>
  <c r="L468" i="16"/>
  <c r="J466" i="16"/>
  <c r="I466" i="16"/>
  <c r="K466" i="16" s="1"/>
  <c r="J465" i="16"/>
  <c r="I465" i="16"/>
  <c r="K465" i="16" s="1"/>
  <c r="I464" i="16"/>
  <c r="I463" i="16"/>
  <c r="I462" i="16"/>
  <c r="I443" i="16" s="1"/>
  <c r="K443" i="16" s="1"/>
  <c r="I460" i="16"/>
  <c r="I442" i="16" s="1"/>
  <c r="K442" i="16" s="1"/>
  <c r="K458" i="16"/>
  <c r="P456" i="16"/>
  <c r="L456" i="16"/>
  <c r="O456" i="16" s="1"/>
  <c r="P455" i="16"/>
  <c r="O455" i="16"/>
  <c r="P454" i="16"/>
  <c r="N454" i="16"/>
  <c r="M454" i="16"/>
  <c r="P449" i="16"/>
  <c r="N449" i="16"/>
  <c r="L449" i="16"/>
  <c r="P448" i="16"/>
  <c r="O448" i="16"/>
  <c r="P447" i="16"/>
  <c r="N447" i="16"/>
  <c r="M447" i="16"/>
  <c r="N446" i="16"/>
  <c r="N444" i="16" s="1"/>
  <c r="M446" i="16"/>
  <c r="P446" i="16" s="1"/>
  <c r="O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J434" i="16"/>
  <c r="P431" i="16"/>
  <c r="L431" i="16"/>
  <c r="O431" i="16" s="1"/>
  <c r="P430" i="16"/>
  <c r="O430" i="16"/>
  <c r="P429" i="16"/>
  <c r="N429" i="16"/>
  <c r="M429" i="16"/>
  <c r="N424" i="16"/>
  <c r="L424" i="16"/>
  <c r="P423" i="16"/>
  <c r="O423" i="16"/>
  <c r="P420" i="16"/>
  <c r="O420" i="16"/>
  <c r="N420" i="16"/>
  <c r="M420" i="16"/>
  <c r="L420" i="16"/>
  <c r="J418" i="16"/>
  <c r="K413" i="16"/>
  <c r="K412" i="16"/>
  <c r="N410" i="16"/>
  <c r="N408" i="16" s="1"/>
  <c r="M410" i="16"/>
  <c r="P410" i="16" s="1"/>
  <c r="L410" i="16"/>
  <c r="L408" i="16" s="1"/>
  <c r="O408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O403" i="16" s="1"/>
  <c r="K401" i="16"/>
  <c r="J401" i="16"/>
  <c r="I401" i="16"/>
  <c r="K400" i="16"/>
  <c r="K399" i="16"/>
  <c r="N397" i="16"/>
  <c r="N395" i="16" s="1"/>
  <c r="M397" i="16"/>
  <c r="L397" i="16"/>
  <c r="O397" i="16" s="1"/>
  <c r="P396" i="16"/>
  <c r="O396" i="16"/>
  <c r="N394" i="16"/>
  <c r="M394" i="16"/>
  <c r="P394" i="16" s="1"/>
  <c r="L394" i="16"/>
  <c r="P393" i="16"/>
  <c r="O393" i="16"/>
  <c r="N390" i="16"/>
  <c r="M390" i="16"/>
  <c r="P390" i="16" s="1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L353" i="16"/>
  <c r="L351" i="16" s="1"/>
  <c r="P352" i="16"/>
  <c r="O352" i="16"/>
  <c r="N350" i="16"/>
  <c r="N348" i="16" s="1"/>
  <c r="M350" i="16"/>
  <c r="M348" i="16" s="1"/>
  <c r="L350" i="16"/>
  <c r="P349" i="16"/>
  <c r="O349" i="16"/>
  <c r="N346" i="16"/>
  <c r="M346" i="16"/>
  <c r="P346" i="16" s="1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L334" i="16" s="1"/>
  <c r="O334" i="16" s="1"/>
  <c r="P335" i="16"/>
  <c r="O335" i="16"/>
  <c r="N333" i="16"/>
  <c r="N331" i="16" s="1"/>
  <c r="M333" i="16"/>
  <c r="M331" i="16" s="1"/>
  <c r="L333" i="16"/>
  <c r="P332" i="16"/>
  <c r="O332" i="16"/>
  <c r="P329" i="16"/>
  <c r="N329" i="16"/>
  <c r="M329" i="16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L321" i="16" s="1"/>
  <c r="O321" i="16" s="1"/>
  <c r="P322" i="16"/>
  <c r="O322" i="16"/>
  <c r="N320" i="16"/>
  <c r="M320" i="16"/>
  <c r="P320" i="16" s="1"/>
  <c r="L320" i="16"/>
  <c r="O320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M306" i="16"/>
  <c r="L306" i="16"/>
  <c r="O306" i="16" s="1"/>
  <c r="P305" i="16"/>
  <c r="O305" i="16"/>
  <c r="N303" i="16"/>
  <c r="N301" i="16" s="1"/>
  <c r="M303" i="16"/>
  <c r="L303" i="16"/>
  <c r="P302" i="16"/>
  <c r="O302" i="16"/>
  <c r="P299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I287" i="16"/>
  <c r="I276" i="16" s="1"/>
  <c r="N285" i="16"/>
  <c r="N283" i="16" s="1"/>
  <c r="M285" i="16"/>
  <c r="M283" i="16" s="1"/>
  <c r="P283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O278" i="16"/>
  <c r="N278" i="16"/>
  <c r="M278" i="16"/>
  <c r="L278" i="16"/>
  <c r="J276" i="16"/>
  <c r="I271" i="16"/>
  <c r="I260" i="16" s="1"/>
  <c r="K260" i="16" s="1"/>
  <c r="N269" i="16"/>
  <c r="N267" i="16" s="1"/>
  <c r="M269" i="16"/>
  <c r="L269" i="16"/>
  <c r="P268" i="16"/>
  <c r="O268" i="16"/>
  <c r="N266" i="16"/>
  <c r="M266" i="16"/>
  <c r="L266" i="16"/>
  <c r="L264" i="16" s="1"/>
  <c r="P265" i="16"/>
  <c r="O265" i="16"/>
  <c r="P262" i="16"/>
  <c r="N262" i="16"/>
  <c r="M262" i="16"/>
  <c r="L262" i="16"/>
  <c r="O262" i="16" s="1"/>
  <c r="J260" i="16"/>
  <c r="K258" i="16"/>
  <c r="K257" i="16"/>
  <c r="I255" i="16"/>
  <c r="I248" i="16" s="1"/>
  <c r="K248" i="16" s="1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J180" i="16" s="1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I208" i="16"/>
  <c r="K208" i="16" s="1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N184" i="16" s="1"/>
  <c r="M186" i="16"/>
  <c r="M184" i="16" s="1"/>
  <c r="L186" i="16"/>
  <c r="P185" i="16"/>
  <c r="O185" i="16"/>
  <c r="N182" i="16"/>
  <c r="M182" i="16"/>
  <c r="P182" i="16" s="1"/>
  <c r="L182" i="16"/>
  <c r="J177" i="16"/>
  <c r="J164" i="16" s="1"/>
  <c r="I176" i="16"/>
  <c r="J174" i="16"/>
  <c r="N173" i="16"/>
  <c r="N171" i="16" s="1"/>
  <c r="M173" i="16"/>
  <c r="L173" i="16"/>
  <c r="L171" i="16" s="1"/>
  <c r="O171" i="16" s="1"/>
  <c r="P172" i="16"/>
  <c r="O172" i="16"/>
  <c r="N170" i="16"/>
  <c r="N168" i="16" s="1"/>
  <c r="M170" i="16"/>
  <c r="M168" i="16" s="1"/>
  <c r="L170" i="16"/>
  <c r="P169" i="16"/>
  <c r="O169" i="16"/>
  <c r="N166" i="16"/>
  <c r="M166" i="16"/>
  <c r="P166" i="16" s="1"/>
  <c r="L166" i="16"/>
  <c r="I159" i="16"/>
  <c r="I148" i="16" s="1"/>
  <c r="K148" i="16" s="1"/>
  <c r="N157" i="16"/>
  <c r="N155" i="16" s="1"/>
  <c r="M157" i="16"/>
  <c r="M155" i="16" s="1"/>
  <c r="P155" i="16" s="1"/>
  <c r="L157" i="16"/>
  <c r="O157" i="16" s="1"/>
  <c r="P156" i="16"/>
  <c r="O156" i="16"/>
  <c r="N154" i="16"/>
  <c r="N152" i="16" s="1"/>
  <c r="M154" i="16"/>
  <c r="M152" i="16" s="1"/>
  <c r="L154" i="16"/>
  <c r="P153" i="16"/>
  <c r="O153" i="16"/>
  <c r="P150" i="16"/>
  <c r="O150" i="16"/>
  <c r="N150" i="16"/>
  <c r="M150" i="16"/>
  <c r="L150" i="16"/>
  <c r="J148" i="16"/>
  <c r="I146" i="16"/>
  <c r="K146" i="16" s="1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P137" i="16" s="1"/>
  <c r="L137" i="16"/>
  <c r="O137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L127" i="16"/>
  <c r="O127" i="16" s="1"/>
  <c r="P126" i="16"/>
  <c r="O126" i="16"/>
  <c r="N124" i="16"/>
  <c r="M124" i="16"/>
  <c r="L124" i="16"/>
  <c r="O124" i="16" s="1"/>
  <c r="P123" i="16"/>
  <c r="O123" i="16"/>
  <c r="O120" i="16"/>
  <c r="N120" i="16"/>
  <c r="M120" i="16"/>
  <c r="L120" i="16"/>
  <c r="I116" i="16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K99" i="16" s="1"/>
  <c r="J98" i="16"/>
  <c r="J86" i="16" s="1"/>
  <c r="I98" i="16"/>
  <c r="K98" i="16" s="1"/>
  <c r="N96" i="16"/>
  <c r="M96" i="16"/>
  <c r="L96" i="16"/>
  <c r="L94" i="16" s="1"/>
  <c r="O94" i="16" s="1"/>
  <c r="P95" i="16"/>
  <c r="O95" i="16"/>
  <c r="N93" i="16"/>
  <c r="N91" i="16" s="1"/>
  <c r="M93" i="16"/>
  <c r="M91" i="16" s="1"/>
  <c r="L93" i="16"/>
  <c r="P92" i="16"/>
  <c r="O92" i="16"/>
  <c r="N89" i="16"/>
  <c r="M89" i="16"/>
  <c r="L89" i="16"/>
  <c r="J87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J77" i="16"/>
  <c r="J65" i="16" s="1"/>
  <c r="J76" i="16"/>
  <c r="N74" i="16"/>
  <c r="M74" i="16"/>
  <c r="M72" i="16" s="1"/>
  <c r="P72" i="16" s="1"/>
  <c r="L74" i="16"/>
  <c r="O74" i="16" s="1"/>
  <c r="P73" i="16"/>
  <c r="O73" i="16"/>
  <c r="N71" i="16"/>
  <c r="N69" i="16" s="1"/>
  <c r="M71" i="16"/>
  <c r="M69" i="16" s="1"/>
  <c r="P69" i="16" s="1"/>
  <c r="L71" i="16"/>
  <c r="O71" i="16" s="1"/>
  <c r="P70" i="16"/>
  <c r="O70" i="16"/>
  <c r="N67" i="16"/>
  <c r="M67" i="16"/>
  <c r="L67" i="16"/>
  <c r="J64" i="16"/>
  <c r="N61" i="16"/>
  <c r="N59" i="16" s="1"/>
  <c r="M61" i="16"/>
  <c r="M59" i="16" s="1"/>
  <c r="L61" i="16"/>
  <c r="L59" i="16" s="1"/>
  <c r="P60" i="16"/>
  <c r="O60" i="16"/>
  <c r="N58" i="16"/>
  <c r="M58" i="16"/>
  <c r="L58" i="16"/>
  <c r="P57" i="16"/>
  <c r="O57" i="16"/>
  <c r="O54" i="16"/>
  <c r="N54" i="16"/>
  <c r="M54" i="16"/>
  <c r="P54" i="16" s="1"/>
  <c r="L54" i="16"/>
  <c r="N49" i="16"/>
  <c r="N47" i="16" s="1"/>
  <c r="M49" i="16"/>
  <c r="M47" i="16" s="1"/>
  <c r="P47" i="16" s="1"/>
  <c r="L49" i="16"/>
  <c r="O49" i="16" s="1"/>
  <c r="P48" i="16"/>
  <c r="O48" i="16"/>
  <c r="N46" i="16"/>
  <c r="N44" i="16" s="1"/>
  <c r="M46" i="16"/>
  <c r="M44" i="16" s="1"/>
  <c r="L46" i="16"/>
  <c r="P45" i="16"/>
  <c r="O45" i="16"/>
  <c r="N42" i="16"/>
  <c r="M42" i="16"/>
  <c r="L42" i="16"/>
  <c r="O42" i="16" s="1"/>
  <c r="P36" i="16"/>
  <c r="N36" i="16"/>
  <c r="M36" i="16"/>
  <c r="N35" i="16"/>
  <c r="N29" i="16" s="1"/>
  <c r="M35" i="16"/>
  <c r="L35" i="16"/>
  <c r="L29" i="16" s="1"/>
  <c r="N32" i="16"/>
  <c r="M32" i="16"/>
  <c r="M29" i="16" s="1"/>
  <c r="L32" i="16"/>
  <c r="P29" i="16"/>
  <c r="O25" i="16"/>
  <c r="N25" i="16"/>
  <c r="M25" i="16"/>
  <c r="P25" i="16" s="1"/>
  <c r="L25" i="16"/>
  <c r="N22" i="16"/>
  <c r="M22" i="16"/>
  <c r="L22" i="16"/>
  <c r="O22" i="16" s="1"/>
  <c r="O19" i="16"/>
  <c r="L19" i="16"/>
  <c r="N15" i="16"/>
  <c r="N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N808" i="15" s="1"/>
  <c r="P809" i="15"/>
  <c r="O809" i="15"/>
  <c r="P808" i="15"/>
  <c r="O808" i="15"/>
  <c r="M808" i="15"/>
  <c r="L808" i="15"/>
  <c r="N807" i="15"/>
  <c r="M807" i="15"/>
  <c r="P807" i="15" s="1"/>
  <c r="L807" i="15"/>
  <c r="L805" i="15" s="1"/>
  <c r="O805" i="15" s="1"/>
  <c r="O806" i="15"/>
  <c r="N806" i="15"/>
  <c r="M806" i="15"/>
  <c r="P806" i="15" s="1"/>
  <c r="L806" i="15"/>
  <c r="N805" i="15"/>
  <c r="K804" i="15"/>
  <c r="J804" i="15"/>
  <c r="K802" i="15"/>
  <c r="J801" i="15"/>
  <c r="J800" i="15"/>
  <c r="J785" i="15" s="1"/>
  <c r="I800" i="15"/>
  <c r="K800" i="15" s="1"/>
  <c r="P798" i="15"/>
  <c r="O798" i="15"/>
  <c r="P797" i="15"/>
  <c r="O797" i="15"/>
  <c r="P796" i="15"/>
  <c r="O796" i="15"/>
  <c r="N796" i="15"/>
  <c r="M796" i="15"/>
  <c r="L796" i="15"/>
  <c r="P791" i="15"/>
  <c r="N791" i="15"/>
  <c r="N789" i="15" s="1"/>
  <c r="L791" i="15"/>
  <c r="O791" i="15" s="1"/>
  <c r="P790" i="15"/>
  <c r="O790" i="15"/>
  <c r="M789" i="15"/>
  <c r="P789" i="15" s="1"/>
  <c r="P788" i="15"/>
  <c r="N788" i="15"/>
  <c r="N786" i="15" s="1"/>
  <c r="M788" i="15"/>
  <c r="N787" i="15"/>
  <c r="M787" i="15"/>
  <c r="P787" i="15" s="1"/>
  <c r="L787" i="15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2" i="15" s="1"/>
  <c r="P774" i="15"/>
  <c r="O774" i="15"/>
  <c r="P773" i="15"/>
  <c r="O773" i="15"/>
  <c r="N773" i="15"/>
  <c r="M773" i="15"/>
  <c r="L773" i="15"/>
  <c r="M772" i="15"/>
  <c r="P772" i="15" s="1"/>
  <c r="L772" i="15"/>
  <c r="O772" i="15" s="1"/>
  <c r="P771" i="15"/>
  <c r="N771" i="15"/>
  <c r="M771" i="15"/>
  <c r="L771" i="15"/>
  <c r="O771" i="15" s="1"/>
  <c r="N770" i="15"/>
  <c r="M770" i="15"/>
  <c r="P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M757" i="15"/>
  <c r="L757" i="15"/>
  <c r="O757" i="15" s="1"/>
  <c r="P756" i="15"/>
  <c r="O756" i="15"/>
  <c r="M756" i="15"/>
  <c r="L756" i="15"/>
  <c r="N755" i="15"/>
  <c r="M755" i="15"/>
  <c r="L755" i="15"/>
  <c r="O755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39" i="15" s="1"/>
  <c r="N737" i="15" s="1"/>
  <c r="P741" i="15"/>
  <c r="O741" i="15"/>
  <c r="P740" i="15"/>
  <c r="O740" i="15"/>
  <c r="N740" i="15"/>
  <c r="M740" i="15"/>
  <c r="L740" i="15"/>
  <c r="M739" i="15"/>
  <c r="P739" i="15" s="1"/>
  <c r="L739" i="15"/>
  <c r="O739" i="15" s="1"/>
  <c r="P738" i="15"/>
  <c r="N738" i="15"/>
  <c r="M738" i="15"/>
  <c r="L738" i="15"/>
  <c r="O738" i="15" s="1"/>
  <c r="M737" i="15"/>
  <c r="P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N688" i="15" s="1"/>
  <c r="L690" i="15"/>
  <c r="L687" i="15" s="1"/>
  <c r="M688" i="15"/>
  <c r="P688" i="15" s="1"/>
  <c r="P687" i="15"/>
  <c r="N687" i="15"/>
  <c r="M687" i="15"/>
  <c r="O686" i="15"/>
  <c r="N686" i="15"/>
  <c r="N685" i="15" s="1"/>
  <c r="M686" i="15"/>
  <c r="P686" i="15" s="1"/>
  <c r="L686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O660" i="15" s="1"/>
  <c r="P659" i="15"/>
  <c r="O659" i="15"/>
  <c r="P658" i="15"/>
  <c r="N658" i="15"/>
  <c r="M658" i="15"/>
  <c r="M657" i="15"/>
  <c r="P657" i="15" s="1"/>
  <c r="P656" i="15"/>
  <c r="N656" i="15"/>
  <c r="M656" i="15"/>
  <c r="L656" i="15"/>
  <c r="O656" i="15" s="1"/>
  <c r="N655" i="15"/>
  <c r="M655" i="15"/>
  <c r="P655" i="15" s="1"/>
  <c r="K652" i="15"/>
  <c r="J652" i="15"/>
  <c r="J651" i="15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N634" i="15"/>
  <c r="N631" i="15" s="1"/>
  <c r="N629" i="15" s="1"/>
  <c r="L634" i="15"/>
  <c r="P633" i="15"/>
  <c r="O633" i="15"/>
  <c r="N632" i="15"/>
  <c r="P630" i="15"/>
  <c r="O630" i="15"/>
  <c r="N630" i="15"/>
  <c r="M630" i="15"/>
  <c r="L630" i="15"/>
  <c r="J628" i="15"/>
  <c r="I628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I593" i="15"/>
  <c r="I592" i="15" s="1"/>
  <c r="J583" i="15"/>
  <c r="J582" i="15"/>
  <c r="J576" i="15" s="1"/>
  <c r="J559" i="15" s="1"/>
  <c r="J543" i="15" s="1"/>
  <c r="J577" i="15"/>
  <c r="I577" i="15"/>
  <c r="K577" i="15" s="1"/>
  <c r="I576" i="15"/>
  <c r="I559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N555" i="15"/>
  <c r="M555" i="15"/>
  <c r="P555" i="15" s="1"/>
  <c r="N549" i="15"/>
  <c r="N546" i="15" s="1"/>
  <c r="N544" i="15" s="1"/>
  <c r="L549" i="15"/>
  <c r="O549" i="15" s="1"/>
  <c r="P548" i="15"/>
  <c r="O548" i="15"/>
  <c r="O545" i="15"/>
  <c r="N545" i="15"/>
  <c r="M545" i="15"/>
  <c r="L545" i="15"/>
  <c r="I542" i="15"/>
  <c r="K542" i="15" s="1"/>
  <c r="I541" i="15"/>
  <c r="K541" i="15" s="1"/>
  <c r="I540" i="15"/>
  <c r="I539" i="15"/>
  <c r="K539" i="15" s="1"/>
  <c r="I538" i="15"/>
  <c r="K538" i="15" s="1"/>
  <c r="I537" i="15"/>
  <c r="K537" i="15" s="1"/>
  <c r="P535" i="15"/>
  <c r="L535" i="15"/>
  <c r="P534" i="15"/>
  <c r="O534" i="15"/>
  <c r="P533" i="15"/>
  <c r="N533" i="15"/>
  <c r="M533" i="15"/>
  <c r="P528" i="15"/>
  <c r="N528" i="15"/>
  <c r="N526" i="15" s="1"/>
  <c r="L528" i="15"/>
  <c r="O528" i="15" s="1"/>
  <c r="P527" i="15"/>
  <c r="O527" i="15"/>
  <c r="M526" i="15"/>
  <c r="P526" i="15" s="1"/>
  <c r="P525" i="15"/>
  <c r="N525" i="15"/>
  <c r="N523" i="15" s="1"/>
  <c r="M525" i="15"/>
  <c r="N524" i="15"/>
  <c r="M524" i="15"/>
  <c r="P524" i="15" s="1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O505" i="15"/>
  <c r="M505" i="15"/>
  <c r="P505" i="15" s="1"/>
  <c r="L505" i="15"/>
  <c r="P504" i="15"/>
  <c r="O504" i="15"/>
  <c r="N504" i="15"/>
  <c r="M504" i="15"/>
  <c r="L504" i="15"/>
  <c r="N503" i="15"/>
  <c r="M503" i="15"/>
  <c r="P503" i="15" s="1"/>
  <c r="L503" i="15"/>
  <c r="N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N472" i="15"/>
  <c r="L472" i="15"/>
  <c r="M472" i="15" s="1"/>
  <c r="M469" i="15" s="1"/>
  <c r="P469" i="15" s="1"/>
  <c r="P471" i="15"/>
  <c r="O471" i="15"/>
  <c r="N470" i="15"/>
  <c r="N469" i="15"/>
  <c r="P468" i="15"/>
  <c r="N468" i="15"/>
  <c r="M468" i="15"/>
  <c r="L468" i="15"/>
  <c r="O468" i="15" s="1"/>
  <c r="J466" i="15"/>
  <c r="I466" i="15"/>
  <c r="K466" i="15" s="1"/>
  <c r="J465" i="15"/>
  <c r="I465" i="15"/>
  <c r="I464" i="15"/>
  <c r="I463" i="15"/>
  <c r="I462" i="15"/>
  <c r="K462" i="15" s="1"/>
  <c r="I460" i="15"/>
  <c r="K458" i="15"/>
  <c r="P456" i="15"/>
  <c r="L456" i="15"/>
  <c r="L454" i="15" s="1"/>
  <c r="O454" i="15" s="1"/>
  <c r="P455" i="15"/>
  <c r="O455" i="15"/>
  <c r="P454" i="15"/>
  <c r="N454" i="15"/>
  <c r="M454" i="15"/>
  <c r="N449" i="15"/>
  <c r="L449" i="15"/>
  <c r="P448" i="15"/>
  <c r="O448" i="15"/>
  <c r="N447" i="15"/>
  <c r="N446" i="15"/>
  <c r="N445" i="15"/>
  <c r="N444" i="15" s="1"/>
  <c r="M445" i="15"/>
  <c r="L445" i="15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J434" i="15"/>
  <c r="P431" i="15"/>
  <c r="L431" i="15"/>
  <c r="O431" i="15" s="1"/>
  <c r="P430" i="15"/>
  <c r="O430" i="15"/>
  <c r="N429" i="15"/>
  <c r="M429" i="15"/>
  <c r="P429" i="15" s="1"/>
  <c r="N424" i="15"/>
  <c r="L424" i="15"/>
  <c r="O424" i="15" s="1"/>
  <c r="P423" i="15"/>
  <c r="O423" i="15"/>
  <c r="O420" i="15"/>
  <c r="N420" i="15"/>
  <c r="M420" i="15"/>
  <c r="P420" i="15" s="1"/>
  <c r="L420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M407" i="15"/>
  <c r="L407" i="15"/>
  <c r="L405" i="15" s="1"/>
  <c r="O405" i="15" s="1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L397" i="15"/>
  <c r="O397" i="15" s="1"/>
  <c r="P396" i="15"/>
  <c r="O396" i="15"/>
  <c r="N394" i="15"/>
  <c r="M394" i="15"/>
  <c r="L394" i="15"/>
  <c r="O394" i="15" s="1"/>
  <c r="P393" i="15"/>
  <c r="O393" i="15"/>
  <c r="O390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M348" i="15" s="1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L334" i="15" s="1"/>
  <c r="O334" i="15" s="1"/>
  <c r="P335" i="15"/>
  <c r="O335" i="15"/>
  <c r="N333" i="15"/>
  <c r="M333" i="15"/>
  <c r="M331" i="15" s="1"/>
  <c r="L333" i="15"/>
  <c r="P332" i="15"/>
  <c r="O332" i="15"/>
  <c r="O329" i="15"/>
  <c r="N329" i="15"/>
  <c r="M329" i="15"/>
  <c r="L329" i="15"/>
  <c r="I327" i="15"/>
  <c r="I325" i="15"/>
  <c r="N323" i="15"/>
  <c r="M323" i="15"/>
  <c r="M321" i="15" s="1"/>
  <c r="P321" i="15" s="1"/>
  <c r="L323" i="15"/>
  <c r="L321" i="15" s="1"/>
  <c r="O321" i="15" s="1"/>
  <c r="P322" i="15"/>
  <c r="O322" i="15"/>
  <c r="N320" i="15"/>
  <c r="N318" i="15" s="1"/>
  <c r="M320" i="15"/>
  <c r="M318" i="15" s="1"/>
  <c r="P318" i="15" s="1"/>
  <c r="L320" i="15"/>
  <c r="O320" i="15" s="1"/>
  <c r="P319" i="15"/>
  <c r="O319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L306" i="15"/>
  <c r="O306" i="15" s="1"/>
  <c r="P305" i="15"/>
  <c r="O305" i="15"/>
  <c r="N303" i="15"/>
  <c r="M303" i="15"/>
  <c r="L303" i="15"/>
  <c r="L301" i="15" s="1"/>
  <c r="P302" i="15"/>
  <c r="O302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L285" i="15"/>
  <c r="L283" i="15" s="1"/>
  <c r="O283" i="15" s="1"/>
  <c r="P284" i="15"/>
  <c r="O284" i="15"/>
  <c r="N282" i="15"/>
  <c r="M282" i="15"/>
  <c r="L282" i="15"/>
  <c r="P281" i="15"/>
  <c r="O281" i="15"/>
  <c r="N278" i="15"/>
  <c r="M278" i="15"/>
  <c r="L278" i="15"/>
  <c r="J276" i="15"/>
  <c r="I275" i="15"/>
  <c r="K275" i="15" s="1"/>
  <c r="I271" i="15"/>
  <c r="K271" i="15" s="1"/>
  <c r="N269" i="15"/>
  <c r="M269" i="15"/>
  <c r="M267" i="15" s="1"/>
  <c r="P267" i="15" s="1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P262" i="15"/>
  <c r="N262" i="15"/>
  <c r="M262" i="15"/>
  <c r="L262" i="15"/>
  <c r="J260" i="15"/>
  <c r="I260" i="15"/>
  <c r="K260" i="15" s="1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J236" i="15"/>
  <c r="I236" i="15"/>
  <c r="J235" i="15"/>
  <c r="I235" i="15"/>
  <c r="K235" i="15" s="1"/>
  <c r="J233" i="15"/>
  <c r="N231" i="15"/>
  <c r="N230" i="15"/>
  <c r="N229" i="15"/>
  <c r="N228" i="15"/>
  <c r="N227" i="15"/>
  <c r="J226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I197" i="15"/>
  <c r="J194" i="15"/>
  <c r="I193" i="15"/>
  <c r="P191" i="15"/>
  <c r="L191" i="15"/>
  <c r="O191" i="15" s="1"/>
  <c r="J190" i="15"/>
  <c r="N189" i="15"/>
  <c r="M189" i="15"/>
  <c r="L189" i="15"/>
  <c r="P188" i="15"/>
  <c r="O188" i="15"/>
  <c r="N186" i="15"/>
  <c r="M186" i="15"/>
  <c r="M184" i="15" s="1"/>
  <c r="L186" i="15"/>
  <c r="P185" i="15"/>
  <c r="O185" i="15"/>
  <c r="P182" i="15"/>
  <c r="O182" i="15"/>
  <c r="N182" i="15"/>
  <c r="M182" i="15"/>
  <c r="L182" i="15"/>
  <c r="J180" i="15"/>
  <c r="J177" i="15"/>
  <c r="I176" i="15"/>
  <c r="I174" i="15" s="1"/>
  <c r="I164" i="15" s="1"/>
  <c r="J174" i="15"/>
  <c r="N173" i="15"/>
  <c r="N171" i="15" s="1"/>
  <c r="M173" i="15"/>
  <c r="M171" i="15" s="1"/>
  <c r="P171" i="15" s="1"/>
  <c r="L173" i="15"/>
  <c r="O173" i="15" s="1"/>
  <c r="P172" i="15"/>
  <c r="O172" i="15"/>
  <c r="N170" i="15"/>
  <c r="M170" i="15"/>
  <c r="M168" i="15" s="1"/>
  <c r="L170" i="15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L155" i="15" s="1"/>
  <c r="O155" i="15" s="1"/>
  <c r="P156" i="15"/>
  <c r="O156" i="15"/>
  <c r="N154" i="15"/>
  <c r="N152" i="15" s="1"/>
  <c r="M154" i="15"/>
  <c r="P154" i="15" s="1"/>
  <c r="L154" i="15"/>
  <c r="O154" i="15" s="1"/>
  <c r="P153" i="15"/>
  <c r="O153" i="15"/>
  <c r="P150" i="15"/>
  <c r="N150" i="15"/>
  <c r="M150" i="15"/>
  <c r="L150" i="15"/>
  <c r="J148" i="15"/>
  <c r="I148" i="15"/>
  <c r="K148" i="15" s="1"/>
  <c r="I146" i="15"/>
  <c r="K146" i="15" s="1"/>
  <c r="I145" i="15"/>
  <c r="K145" i="15" s="1"/>
  <c r="I144" i="15"/>
  <c r="K144" i="15" s="1"/>
  <c r="N140" i="15"/>
  <c r="N138" i="15" s="1"/>
  <c r="M140" i="15"/>
  <c r="M138" i="15" s="1"/>
  <c r="P138" i="15" s="1"/>
  <c r="L140" i="15"/>
  <c r="L138" i="15" s="1"/>
  <c r="O138" i="15" s="1"/>
  <c r="P139" i="15"/>
  <c r="O139" i="15"/>
  <c r="N137" i="15"/>
  <c r="M137" i="15"/>
  <c r="M135" i="15" s="1"/>
  <c r="P135" i="15" s="1"/>
  <c r="L137" i="15"/>
  <c r="L135" i="15" s="1"/>
  <c r="O135" i="15" s="1"/>
  <c r="P136" i="15"/>
  <c r="O136" i="15"/>
  <c r="P133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I98" i="15"/>
  <c r="K98" i="15" s="1"/>
  <c r="N96" i="15"/>
  <c r="N94" i="15" s="1"/>
  <c r="M96" i="15"/>
  <c r="P96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N89" i="15"/>
  <c r="M89" i="15"/>
  <c r="L89" i="15"/>
  <c r="O89" i="15" s="1"/>
  <c r="J87" i="15"/>
  <c r="J86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K78" i="15" s="1"/>
  <c r="J77" i="15"/>
  <c r="J76" i="15"/>
  <c r="N74" i="15"/>
  <c r="N72" i="15" s="1"/>
  <c r="M74" i="15"/>
  <c r="P74" i="15" s="1"/>
  <c r="L74" i="15"/>
  <c r="P73" i="15"/>
  <c r="O73" i="15"/>
  <c r="N71" i="15"/>
  <c r="N69" i="15" s="1"/>
  <c r="M71" i="15"/>
  <c r="L71" i="15"/>
  <c r="O71" i="15" s="1"/>
  <c r="P70" i="15"/>
  <c r="O70" i="15"/>
  <c r="N67" i="15"/>
  <c r="M67" i="15"/>
  <c r="P67" i="15" s="1"/>
  <c r="L67" i="15"/>
  <c r="O67" i="15" s="1"/>
  <c r="J65" i="15"/>
  <c r="J64" i="15"/>
  <c r="N61" i="15"/>
  <c r="N59" i="15" s="1"/>
  <c r="M61" i="15"/>
  <c r="P61" i="15" s="1"/>
  <c r="L61" i="15"/>
  <c r="L59" i="15" s="1"/>
  <c r="O59" i="15" s="1"/>
  <c r="P60" i="15"/>
  <c r="O60" i="15"/>
  <c r="N58" i="15"/>
  <c r="N56" i="15" s="1"/>
  <c r="M58" i="15"/>
  <c r="L58" i="15"/>
  <c r="L56" i="15" s="1"/>
  <c r="P57" i="15"/>
  <c r="O57" i="15"/>
  <c r="P54" i="15"/>
  <c r="O54" i="15"/>
  <c r="N54" i="15"/>
  <c r="M54" i="15"/>
  <c r="L54" i="15"/>
  <c r="N49" i="15"/>
  <c r="N47" i="15" s="1"/>
  <c r="M49" i="15"/>
  <c r="M47" i="15" s="1"/>
  <c r="P47" i="15" s="1"/>
  <c r="L49" i="15"/>
  <c r="O49" i="15" s="1"/>
  <c r="P48" i="15"/>
  <c r="O48" i="15"/>
  <c r="N46" i="15"/>
  <c r="M46" i="15"/>
  <c r="M44" i="15" s="1"/>
  <c r="L46" i="15"/>
  <c r="P45" i="15"/>
  <c r="O45" i="15"/>
  <c r="O42" i="15"/>
  <c r="N42" i="15"/>
  <c r="M42" i="15"/>
  <c r="L42" i="15"/>
  <c r="P36" i="15"/>
  <c r="N36" i="15"/>
  <c r="M36" i="15"/>
  <c r="N35" i="15"/>
  <c r="M35" i="15"/>
  <c r="P35" i="15" s="1"/>
  <c r="L35" i="15"/>
  <c r="L15" i="15" s="1"/>
  <c r="N34" i="15"/>
  <c r="N33" i="15"/>
  <c r="N30" i="15" s="1"/>
  <c r="P32" i="15"/>
  <c r="N32" i="15"/>
  <c r="N29" i="15" s="1"/>
  <c r="M32" i="15"/>
  <c r="M29" i="15" s="1"/>
  <c r="L32" i="15"/>
  <c r="O32" i="15" s="1"/>
  <c r="O29" i="15"/>
  <c r="L29" i="15"/>
  <c r="P25" i="15"/>
  <c r="O25" i="15"/>
  <c r="N25" i="15"/>
  <c r="M25" i="15"/>
  <c r="L25" i="15"/>
  <c r="O22" i="15"/>
  <c r="N22" i="15"/>
  <c r="M22" i="15"/>
  <c r="L22" i="15"/>
  <c r="L19" i="15"/>
  <c r="P15" i="15"/>
  <c r="M15" i="15"/>
  <c r="O12" i="15"/>
  <c r="N12" i="15"/>
  <c r="L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O815" i="14"/>
  <c r="N815" i="14"/>
  <c r="M815" i="14"/>
  <c r="P815" i="14" s="1"/>
  <c r="L815" i="14"/>
  <c r="P810" i="14"/>
  <c r="O810" i="14"/>
  <c r="N810" i="14"/>
  <c r="N808" i="14" s="1"/>
  <c r="P809" i="14"/>
  <c r="O809" i="14"/>
  <c r="P808" i="14"/>
  <c r="O808" i="14"/>
  <c r="M808" i="14"/>
  <c r="L808" i="14"/>
  <c r="N807" i="14"/>
  <c r="N805" i="14" s="1"/>
  <c r="M807" i="14"/>
  <c r="P807" i="14" s="1"/>
  <c r="L807" i="14"/>
  <c r="L805" i="14" s="1"/>
  <c r="O805" i="14" s="1"/>
  <c r="O806" i="14"/>
  <c r="N806" i="14"/>
  <c r="M806" i="14"/>
  <c r="P806" i="14" s="1"/>
  <c r="L806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P790" i="14"/>
  <c r="O790" i="14"/>
  <c r="N789" i="14"/>
  <c r="M789" i="14"/>
  <c r="P789" i="14" s="1"/>
  <c r="P788" i="14"/>
  <c r="N788" i="14"/>
  <c r="M788" i="14"/>
  <c r="N787" i="14"/>
  <c r="N786" i="14" s="1"/>
  <c r="M787" i="14"/>
  <c r="L787" i="14"/>
  <c r="I785" i="14"/>
  <c r="K785" i="14" s="1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2" i="14" s="1"/>
  <c r="N770" i="14" s="1"/>
  <c r="P774" i="14"/>
  <c r="O774" i="14"/>
  <c r="P773" i="14"/>
  <c r="O773" i="14"/>
  <c r="N773" i="14"/>
  <c r="M773" i="14"/>
  <c r="L773" i="14"/>
  <c r="M772" i="14"/>
  <c r="L772" i="14"/>
  <c r="O772" i="14" s="1"/>
  <c r="P771" i="14"/>
  <c r="N771" i="14"/>
  <c r="M771" i="14"/>
  <c r="L771" i="14"/>
  <c r="O771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M757" i="14"/>
  <c r="L757" i="14"/>
  <c r="O757" i="14" s="1"/>
  <c r="P756" i="14"/>
  <c r="O756" i="14"/>
  <c r="M756" i="14"/>
  <c r="L756" i="14"/>
  <c r="N755" i="14"/>
  <c r="M755" i="14"/>
  <c r="L755" i="14"/>
  <c r="O755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39" i="14" s="1"/>
  <c r="P741" i="14"/>
  <c r="O741" i="14"/>
  <c r="P740" i="14"/>
  <c r="O740" i="14"/>
  <c r="N740" i="14"/>
  <c r="M740" i="14"/>
  <c r="L740" i="14"/>
  <c r="M739" i="14"/>
  <c r="L739" i="14"/>
  <c r="O739" i="14" s="1"/>
  <c r="P738" i="14"/>
  <c r="N738" i="14"/>
  <c r="M738" i="14"/>
  <c r="L738" i="14"/>
  <c r="O738" i="14" s="1"/>
  <c r="N737" i="14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N690" i="14"/>
  <c r="L690" i="14"/>
  <c r="M690" i="14" s="1"/>
  <c r="M687" i="14" s="1"/>
  <c r="P687" i="14" s="1"/>
  <c r="N688" i="14"/>
  <c r="N687" i="14"/>
  <c r="P686" i="14"/>
  <c r="O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I654" i="14" s="1"/>
  <c r="K654" i="14" s="1"/>
  <c r="P667" i="14"/>
  <c r="O667" i="14"/>
  <c r="P666" i="14"/>
  <c r="O666" i="14"/>
  <c r="N665" i="14"/>
  <c r="M665" i="14"/>
  <c r="P665" i="14" s="1"/>
  <c r="L665" i="14"/>
  <c r="O665" i="14" s="1"/>
  <c r="N660" i="14"/>
  <c r="L660" i="14"/>
  <c r="L658" i="14" s="1"/>
  <c r="O658" i="14" s="1"/>
  <c r="P659" i="14"/>
  <c r="O659" i="14"/>
  <c r="N658" i="14"/>
  <c r="N657" i="14"/>
  <c r="P656" i="14"/>
  <c r="N656" i="14"/>
  <c r="M656" i="14"/>
  <c r="L656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O634" i="14" s="1"/>
  <c r="P633" i="14"/>
  <c r="O633" i="14"/>
  <c r="P632" i="14"/>
  <c r="N632" i="14"/>
  <c r="M632" i="14"/>
  <c r="M631" i="14"/>
  <c r="P630" i="14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4" i="14"/>
  <c r="I594" i="14"/>
  <c r="K594" i="14" s="1"/>
  <c r="I593" i="14"/>
  <c r="I592" i="14" s="1"/>
  <c r="J583" i="14"/>
  <c r="J577" i="14" s="1"/>
  <c r="J582" i="14"/>
  <c r="J576" i="14" s="1"/>
  <c r="J559" i="14" s="1"/>
  <c r="J543" i="14" s="1"/>
  <c r="I577" i="14"/>
  <c r="K577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P555" i="14"/>
  <c r="N555" i="14"/>
  <c r="N545" i="14" s="1"/>
  <c r="M555" i="14"/>
  <c r="N549" i="14"/>
  <c r="N546" i="14" s="1"/>
  <c r="L549" i="14"/>
  <c r="M549" i="14" s="1"/>
  <c r="M547" i="14" s="1"/>
  <c r="P548" i="14"/>
  <c r="O548" i="14"/>
  <c r="N547" i="14"/>
  <c r="P545" i="14"/>
  <c r="M545" i="14"/>
  <c r="L545" i="14"/>
  <c r="O545" i="14" s="1"/>
  <c r="N544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M526" i="14"/>
  <c r="P525" i="14"/>
  <c r="M525" i="14"/>
  <c r="N524" i="14"/>
  <c r="M524" i="14"/>
  <c r="L524" i="14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M505" i="14"/>
  <c r="L505" i="14"/>
  <c r="O505" i="14" s="1"/>
  <c r="P504" i="14"/>
  <c r="O504" i="14"/>
  <c r="M504" i="14"/>
  <c r="L504" i="14"/>
  <c r="N503" i="14"/>
  <c r="M503" i="14"/>
  <c r="L503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2" i="14"/>
  <c r="N470" i="14" s="1"/>
  <c r="L472" i="14"/>
  <c r="P471" i="14"/>
  <c r="O471" i="14"/>
  <c r="N469" i="14"/>
  <c r="N467" i="14" s="1"/>
  <c r="N468" i="14"/>
  <c r="M468" i="14"/>
  <c r="L468" i="14"/>
  <c r="J466" i="14"/>
  <c r="I466" i="14"/>
  <c r="J465" i="14"/>
  <c r="I465" i="14"/>
  <c r="K465" i="14" s="1"/>
  <c r="I464" i="14"/>
  <c r="I463" i="14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P448" i="14"/>
  <c r="O448" i="14"/>
  <c r="P447" i="14"/>
  <c r="M447" i="14"/>
  <c r="P446" i="14"/>
  <c r="M446" i="14"/>
  <c r="N445" i="14"/>
  <c r="M445" i="14"/>
  <c r="L445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J434" i="14"/>
  <c r="P431" i="14"/>
  <c r="L431" i="14"/>
  <c r="P430" i="14"/>
  <c r="O430" i="14"/>
  <c r="N429" i="14"/>
  <c r="M429" i="14"/>
  <c r="P429" i="14" s="1"/>
  <c r="N424" i="14"/>
  <c r="N422" i="14" s="1"/>
  <c r="L424" i="14"/>
  <c r="P423" i="14"/>
  <c r="O423" i="14"/>
  <c r="N421" i="14"/>
  <c r="O420" i="14"/>
  <c r="N420" i="14"/>
  <c r="M420" i="14"/>
  <c r="L420" i="14"/>
  <c r="N419" i="14"/>
  <c r="J418" i="14"/>
  <c r="K413" i="14"/>
  <c r="K412" i="14"/>
  <c r="N410" i="14"/>
  <c r="N408" i="14" s="1"/>
  <c r="M410" i="14"/>
  <c r="M408" i="14" s="1"/>
  <c r="P408" i="14" s="1"/>
  <c r="L410" i="14"/>
  <c r="P409" i="14"/>
  <c r="O409" i="14"/>
  <c r="N407" i="14"/>
  <c r="M407" i="14"/>
  <c r="L407" i="14"/>
  <c r="O407" i="14" s="1"/>
  <c r="P406" i="14"/>
  <c r="O406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P396" i="14"/>
  <c r="O396" i="14"/>
  <c r="N394" i="14"/>
  <c r="N392" i="14" s="1"/>
  <c r="M394" i="14"/>
  <c r="M392" i="14" s="1"/>
  <c r="P392" i="14" s="1"/>
  <c r="L394" i="14"/>
  <c r="P393" i="14"/>
  <c r="O393" i="14"/>
  <c r="O390" i="14"/>
  <c r="N390" i="14"/>
  <c r="M390" i="14"/>
  <c r="L390" i="14"/>
  <c r="K388" i="14"/>
  <c r="J388" i="14"/>
  <c r="I388" i="14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P352" i="14"/>
  <c r="O352" i="14"/>
  <c r="N350" i="14"/>
  <c r="N348" i="14" s="1"/>
  <c r="M350" i="14"/>
  <c r="M348" i="14" s="1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M333" i="14"/>
  <c r="L333" i="14"/>
  <c r="L331" i="14" s="1"/>
  <c r="P332" i="14"/>
  <c r="O332" i="14"/>
  <c r="P329" i="14"/>
  <c r="O329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N318" i="14" s="1"/>
  <c r="M320" i="14"/>
  <c r="P320" i="14" s="1"/>
  <c r="L320" i="14"/>
  <c r="P319" i="14"/>
  <c r="O319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P306" i="14" s="1"/>
  <c r="L306" i="14"/>
  <c r="P305" i="14"/>
  <c r="O305" i="14"/>
  <c r="N303" i="14"/>
  <c r="M303" i="14"/>
  <c r="L303" i="14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M283" i="14" s="1"/>
  <c r="P283" i="14" s="1"/>
  <c r="L285" i="14"/>
  <c r="O285" i="14" s="1"/>
  <c r="P284" i="14"/>
  <c r="O284" i="14"/>
  <c r="N282" i="14"/>
  <c r="M282" i="14"/>
  <c r="L282" i="14"/>
  <c r="P281" i="14"/>
  <c r="O281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N264" i="14" s="1"/>
  <c r="M266" i="14"/>
  <c r="M264" i="14" s="1"/>
  <c r="L266" i="14"/>
  <c r="P265" i="14"/>
  <c r="O265" i="14"/>
  <c r="O262" i="14"/>
  <c r="N262" i="14"/>
  <c r="M262" i="14"/>
  <c r="L262" i="14"/>
  <c r="J260" i="14"/>
  <c r="I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J226" i="14" s="1"/>
  <c r="J180" i="14" s="1"/>
  <c r="K236" i="14"/>
  <c r="J236" i="14"/>
  <c r="I236" i="14"/>
  <c r="K235" i="14"/>
  <c r="J235" i="14"/>
  <c r="I235" i="14"/>
  <c r="J233" i="14"/>
  <c r="N231" i="14"/>
  <c r="N230" i="14"/>
  <c r="N229" i="14"/>
  <c r="N228" i="14"/>
  <c r="N227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P188" i="14"/>
  <c r="O188" i="14"/>
  <c r="N186" i="14"/>
  <c r="M186" i="14"/>
  <c r="M184" i="14" s="1"/>
  <c r="L186" i="14"/>
  <c r="L184" i="14" s="1"/>
  <c r="P185" i="14"/>
  <c r="O185" i="14"/>
  <c r="P182" i="14"/>
  <c r="O182" i="14"/>
  <c r="N182" i="14"/>
  <c r="M182" i="14"/>
  <c r="L182" i="14"/>
  <c r="J177" i="14"/>
  <c r="I176" i="14"/>
  <c r="K176" i="14" s="1"/>
  <c r="J174" i="14"/>
  <c r="J164" i="14" s="1"/>
  <c r="N173" i="14"/>
  <c r="N171" i="14" s="1"/>
  <c r="M173" i="14"/>
  <c r="M171" i="14" s="1"/>
  <c r="P171" i="14" s="1"/>
  <c r="L173" i="14"/>
  <c r="P172" i="14"/>
  <c r="O172" i="14"/>
  <c r="N170" i="14"/>
  <c r="N168" i="14" s="1"/>
  <c r="M170" i="14"/>
  <c r="L170" i="14"/>
  <c r="P169" i="14"/>
  <c r="O169" i="14"/>
  <c r="P166" i="14"/>
  <c r="O166" i="14"/>
  <c r="N166" i="14"/>
  <c r="M166" i="14"/>
  <c r="L166" i="14"/>
  <c r="I159" i="14"/>
  <c r="I148" i="14" s="1"/>
  <c r="K148" i="14" s="1"/>
  <c r="N157" i="14"/>
  <c r="N155" i="14" s="1"/>
  <c r="M157" i="14"/>
  <c r="M155" i="14" s="1"/>
  <c r="P155" i="14" s="1"/>
  <c r="L157" i="14"/>
  <c r="O157" i="14" s="1"/>
  <c r="P156" i="14"/>
  <c r="O156" i="14"/>
  <c r="N154" i="14"/>
  <c r="M154" i="14"/>
  <c r="M152" i="14" s="1"/>
  <c r="L154" i="14"/>
  <c r="P153" i="14"/>
  <c r="O153" i="14"/>
  <c r="O150" i="14"/>
  <c r="N150" i="14"/>
  <c r="M150" i="14"/>
  <c r="L150" i="14"/>
  <c r="J148" i="14"/>
  <c r="I146" i="14"/>
  <c r="I130" i="14" s="1"/>
  <c r="K130" i="14" s="1"/>
  <c r="I145" i="14"/>
  <c r="K145" i="14" s="1"/>
  <c r="I144" i="14"/>
  <c r="K144" i="14" s="1"/>
  <c r="N140" i="14"/>
  <c r="N138" i="14" s="1"/>
  <c r="M140" i="14"/>
  <c r="M138" i="14" s="1"/>
  <c r="P138" i="14" s="1"/>
  <c r="L140" i="14"/>
  <c r="L138" i="14" s="1"/>
  <c r="O138" i="14" s="1"/>
  <c r="P139" i="14"/>
  <c r="O139" i="14"/>
  <c r="N137" i="14"/>
  <c r="M137" i="14"/>
  <c r="P137" i="14" s="1"/>
  <c r="L137" i="14"/>
  <c r="P136" i="14"/>
  <c r="O136" i="14"/>
  <c r="P133" i="14"/>
  <c r="O133" i="14"/>
  <c r="N133" i="14"/>
  <c r="M133" i="14"/>
  <c r="L133" i="14"/>
  <c r="J130" i="14"/>
  <c r="N127" i="14"/>
  <c r="N125" i="14" s="1"/>
  <c r="M127" i="14"/>
  <c r="P127" i="14" s="1"/>
  <c r="L127" i="14"/>
  <c r="O127" i="14" s="1"/>
  <c r="P126" i="14"/>
  <c r="O126" i="14"/>
  <c r="N124" i="14"/>
  <c r="N122" i="14" s="1"/>
  <c r="M124" i="14"/>
  <c r="P124" i="14" s="1"/>
  <c r="L124" i="14"/>
  <c r="P123" i="14"/>
  <c r="O123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J86" i="14" s="1"/>
  <c r="I98" i="14"/>
  <c r="K98" i="14" s="1"/>
  <c r="N96" i="14"/>
  <c r="N94" i="14" s="1"/>
  <c r="M96" i="14"/>
  <c r="M94" i="14" s="1"/>
  <c r="P94" i="14" s="1"/>
  <c r="L96" i="14"/>
  <c r="P95" i="14"/>
  <c r="O95" i="14"/>
  <c r="N93" i="14"/>
  <c r="M93" i="14"/>
  <c r="L93" i="14"/>
  <c r="L91" i="14" s="1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J64" i="14" s="1"/>
  <c r="N74" i="14"/>
  <c r="N72" i="14" s="1"/>
  <c r="M74" i="14"/>
  <c r="L74" i="14"/>
  <c r="O74" i="14" s="1"/>
  <c r="P73" i="14"/>
  <c r="O73" i="14"/>
  <c r="N71" i="14"/>
  <c r="N69" i="14" s="1"/>
  <c r="M71" i="14"/>
  <c r="M69" i="14" s="1"/>
  <c r="P69" i="14" s="1"/>
  <c r="L71" i="14"/>
  <c r="O71" i="14" s="1"/>
  <c r="P70" i="14"/>
  <c r="O70" i="14"/>
  <c r="P67" i="14"/>
  <c r="O67" i="14"/>
  <c r="N67" i="14"/>
  <c r="M67" i="14"/>
  <c r="L67" i="14"/>
  <c r="N61" i="14"/>
  <c r="N59" i="14" s="1"/>
  <c r="M61" i="14"/>
  <c r="M59" i="14" s="1"/>
  <c r="L61" i="14"/>
  <c r="L59" i="14" s="1"/>
  <c r="P60" i="14"/>
  <c r="O60" i="14"/>
  <c r="N58" i="14"/>
  <c r="M58" i="14"/>
  <c r="L58" i="14"/>
  <c r="L56" i="14" s="1"/>
  <c r="P57" i="14"/>
  <c r="O57" i="14"/>
  <c r="N54" i="14"/>
  <c r="M54" i="14"/>
  <c r="L54" i="14"/>
  <c r="O54" i="14" s="1"/>
  <c r="N49" i="14"/>
  <c r="N47" i="14" s="1"/>
  <c r="M49" i="14"/>
  <c r="M47" i="14" s="1"/>
  <c r="P47" i="14" s="1"/>
  <c r="L49" i="14"/>
  <c r="O49" i="14" s="1"/>
  <c r="P48" i="14"/>
  <c r="O48" i="14"/>
  <c r="N46" i="14"/>
  <c r="N44" i="14" s="1"/>
  <c r="M46" i="14"/>
  <c r="L46" i="14"/>
  <c r="P45" i="14"/>
  <c r="O45" i="14"/>
  <c r="P42" i="14"/>
  <c r="N42" i="14"/>
  <c r="M42" i="14"/>
  <c r="L42" i="14"/>
  <c r="N36" i="14"/>
  <c r="M36" i="14"/>
  <c r="P36" i="14" s="1"/>
  <c r="P35" i="14"/>
  <c r="N35" i="14"/>
  <c r="M35" i="14"/>
  <c r="L35" i="14"/>
  <c r="L15" i="14" s="1"/>
  <c r="N34" i="14"/>
  <c r="N33" i="14"/>
  <c r="N30" i="14" s="1"/>
  <c r="P32" i="14"/>
  <c r="O32" i="14"/>
  <c r="N32" i="14"/>
  <c r="M32" i="14"/>
  <c r="L32" i="14"/>
  <c r="N31" i="14"/>
  <c r="N29" i="14"/>
  <c r="N28" i="14" s="1"/>
  <c r="M29" i="14"/>
  <c r="P29" i="14" s="1"/>
  <c r="L29" i="14"/>
  <c r="O25" i="14"/>
  <c r="N25" i="14"/>
  <c r="N15" i="14" s="1"/>
  <c r="M25" i="14"/>
  <c r="M15" i="14" s="1"/>
  <c r="L25" i="14"/>
  <c r="N22" i="14"/>
  <c r="N19" i="14" s="1"/>
  <c r="M22" i="14"/>
  <c r="L22" i="14"/>
  <c r="O22" i="14" s="1"/>
  <c r="L19" i="14"/>
  <c r="O19" i="14" s="1"/>
  <c r="N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N807" i="13" s="1"/>
  <c r="N805" i="13" s="1"/>
  <c r="P809" i="13"/>
  <c r="O809" i="13"/>
  <c r="P808" i="13"/>
  <c r="O808" i="13"/>
  <c r="N808" i="13"/>
  <c r="M808" i="13"/>
  <c r="L808" i="13"/>
  <c r="M807" i="13"/>
  <c r="P807" i="13" s="1"/>
  <c r="L807" i="13"/>
  <c r="L805" i="13" s="1"/>
  <c r="O806" i="13"/>
  <c r="N806" i="13"/>
  <c r="M806" i="13"/>
  <c r="P806" i="13" s="1"/>
  <c r="L806" i="13"/>
  <c r="O805" i="13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O796" i="13"/>
  <c r="N796" i="13"/>
  <c r="M796" i="13"/>
  <c r="P796" i="13" s="1"/>
  <c r="L796" i="13"/>
  <c r="P791" i="13"/>
  <c r="N791" i="13"/>
  <c r="N789" i="13" s="1"/>
  <c r="L791" i="13"/>
  <c r="L789" i="13" s="1"/>
  <c r="O789" i="13" s="1"/>
  <c r="P790" i="13"/>
  <c r="O790" i="13"/>
  <c r="M789" i="13"/>
  <c r="P789" i="13" s="1"/>
  <c r="N788" i="13"/>
  <c r="N786" i="13" s="1"/>
  <c r="M788" i="13"/>
  <c r="M786" i="13" s="1"/>
  <c r="P786" i="13" s="1"/>
  <c r="P787" i="13"/>
  <c r="N787" i="13"/>
  <c r="M787" i="13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M772" i="13"/>
  <c r="L772" i="13"/>
  <c r="O772" i="13" s="1"/>
  <c r="P771" i="13"/>
  <c r="N771" i="13"/>
  <c r="M771" i="13"/>
  <c r="L771" i="13"/>
  <c r="O771" i="13" s="1"/>
  <c r="N770" i="13"/>
  <c r="M770" i="13"/>
  <c r="P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M757" i="13"/>
  <c r="L757" i="13"/>
  <c r="P756" i="13"/>
  <c r="O756" i="13"/>
  <c r="M756" i="13"/>
  <c r="L756" i="13"/>
  <c r="N755" i="13"/>
  <c r="M755" i="13"/>
  <c r="L755" i="13"/>
  <c r="O755" i="13" s="1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P741" i="13"/>
  <c r="O741" i="13"/>
  <c r="O740" i="13"/>
  <c r="N740" i="13"/>
  <c r="M740" i="13"/>
  <c r="P740" i="13" s="1"/>
  <c r="L740" i="13"/>
  <c r="P739" i="13"/>
  <c r="N739" i="13"/>
  <c r="M739" i="13"/>
  <c r="L739" i="13"/>
  <c r="O739" i="13" s="1"/>
  <c r="P738" i="13"/>
  <c r="N738" i="13"/>
  <c r="M738" i="13"/>
  <c r="L738" i="13"/>
  <c r="O738" i="13" s="1"/>
  <c r="N737" i="13"/>
  <c r="M737" i="13"/>
  <c r="P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N687" i="13" s="1"/>
  <c r="L690" i="13"/>
  <c r="O690" i="13" s="1"/>
  <c r="O686" i="13"/>
  <c r="N686" i="13"/>
  <c r="N685" i="13" s="1"/>
  <c r="M686" i="13"/>
  <c r="P686" i="13" s="1"/>
  <c r="L686" i="13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O660" i="13" s="1"/>
  <c r="P659" i="13"/>
  <c r="O659" i="13"/>
  <c r="N658" i="13"/>
  <c r="N657" i="13"/>
  <c r="N655" i="13" s="1"/>
  <c r="P656" i="13"/>
  <c r="O656" i="13"/>
  <c r="N656" i="13"/>
  <c r="M656" i="13"/>
  <c r="L656" i="13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N631" i="13" s="1"/>
  <c r="L634" i="13"/>
  <c r="O634" i="13" s="1"/>
  <c r="P633" i="13"/>
  <c r="O633" i="13"/>
  <c r="N632" i="13"/>
  <c r="M632" i="13"/>
  <c r="P632" i="13" s="1"/>
  <c r="M631" i="13"/>
  <c r="P631" i="13" s="1"/>
  <c r="P630" i="13"/>
  <c r="N630" i="13"/>
  <c r="M630" i="13"/>
  <c r="L630" i="13"/>
  <c r="O630" i="13" s="1"/>
  <c r="N629" i="13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594" i="13" s="1"/>
  <c r="J603" i="13"/>
  <c r="J593" i="13" s="1"/>
  <c r="J596" i="13"/>
  <c r="J595" i="13"/>
  <c r="I594" i="13"/>
  <c r="I593" i="13"/>
  <c r="I592" i="13" s="1"/>
  <c r="J583" i="13"/>
  <c r="J582" i="13"/>
  <c r="J576" i="13" s="1"/>
  <c r="J559" i="13" s="1"/>
  <c r="J543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P555" i="13"/>
  <c r="N555" i="13"/>
  <c r="M555" i="13"/>
  <c r="M545" i="13" s="1"/>
  <c r="N549" i="13"/>
  <c r="N546" i="13" s="1"/>
  <c r="L549" i="13"/>
  <c r="L547" i="13" s="1"/>
  <c r="O547" i="13" s="1"/>
  <c r="P548" i="13"/>
  <c r="O548" i="13"/>
  <c r="N547" i="13"/>
  <c r="O545" i="13"/>
  <c r="N545" i="13"/>
  <c r="L545" i="13"/>
  <c r="N544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O535" i="13" s="1"/>
  <c r="P534" i="13"/>
  <c r="O534" i="13"/>
  <c r="P533" i="13"/>
  <c r="N533" i="13"/>
  <c r="M533" i="13"/>
  <c r="P528" i="13"/>
  <c r="N528" i="13"/>
  <c r="L528" i="13"/>
  <c r="P527" i="13"/>
  <c r="O527" i="13"/>
  <c r="P526" i="13"/>
  <c r="N526" i="13"/>
  <c r="M526" i="13"/>
  <c r="P525" i="13"/>
  <c r="N525" i="13"/>
  <c r="N523" i="13" s="1"/>
  <c r="M525" i="13"/>
  <c r="N524" i="13"/>
  <c r="M524" i="13"/>
  <c r="L524" i="13"/>
  <c r="O524" i="13" s="1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P506" i="13"/>
  <c r="O506" i="13"/>
  <c r="P505" i="13"/>
  <c r="M505" i="13"/>
  <c r="L505" i="13"/>
  <c r="O505" i="13" s="1"/>
  <c r="P504" i="13"/>
  <c r="O504" i="13"/>
  <c r="M504" i="13"/>
  <c r="L504" i="13"/>
  <c r="N503" i="13"/>
  <c r="M503" i="13"/>
  <c r="L503" i="13"/>
  <c r="O503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P470" i="13"/>
  <c r="N470" i="13"/>
  <c r="M470" i="13"/>
  <c r="N469" i="13"/>
  <c r="N467" i="13" s="1"/>
  <c r="M469" i="13"/>
  <c r="M467" i="13" s="1"/>
  <c r="P467" i="13" s="1"/>
  <c r="P468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N447" i="13" s="1"/>
  <c r="L449" i="13"/>
  <c r="O449" i="13" s="1"/>
  <c r="P448" i="13"/>
  <c r="O448" i="13"/>
  <c r="P447" i="13"/>
  <c r="M447" i="13"/>
  <c r="N446" i="13"/>
  <c r="N444" i="13" s="1"/>
  <c r="M446" i="13"/>
  <c r="M444" i="13" s="1"/>
  <c r="P444" i="13" s="1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J418" i="13" s="1"/>
  <c r="P431" i="13"/>
  <c r="L431" i="13"/>
  <c r="P430" i="13"/>
  <c r="O430" i="13"/>
  <c r="P429" i="13"/>
  <c r="N429" i="13"/>
  <c r="M429" i="13"/>
  <c r="N424" i="13"/>
  <c r="N421" i="13" s="1"/>
  <c r="N419" i="13" s="1"/>
  <c r="L424" i="13"/>
  <c r="L422" i="13" s="1"/>
  <c r="P423" i="13"/>
  <c r="O423" i="13"/>
  <c r="N422" i="13"/>
  <c r="P420" i="13"/>
  <c r="O420" i="13"/>
  <c r="N420" i="13"/>
  <c r="M420" i="13"/>
  <c r="L420" i="13"/>
  <c r="K413" i="13"/>
  <c r="K412" i="13"/>
  <c r="N410" i="13"/>
  <c r="N408" i="13" s="1"/>
  <c r="M410" i="13"/>
  <c r="M408" i="13" s="1"/>
  <c r="P408" i="13" s="1"/>
  <c r="L410" i="13"/>
  <c r="O410" i="13" s="1"/>
  <c r="P409" i="13"/>
  <c r="O409" i="13"/>
  <c r="N407" i="13"/>
  <c r="M407" i="13"/>
  <c r="P407" i="13" s="1"/>
  <c r="L407" i="13"/>
  <c r="P406" i="13"/>
  <c r="O406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M395" i="13" s="1"/>
  <c r="P395" i="13" s="1"/>
  <c r="L397" i="13"/>
  <c r="P396" i="13"/>
  <c r="O396" i="13"/>
  <c r="N394" i="13"/>
  <c r="N392" i="13" s="1"/>
  <c r="M394" i="13"/>
  <c r="P394" i="13" s="1"/>
  <c r="L394" i="13"/>
  <c r="O394" i="13" s="1"/>
  <c r="P393" i="13"/>
  <c r="O393" i="13"/>
  <c r="P390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M351" i="13" s="1"/>
  <c r="L353" i="13"/>
  <c r="L351" i="13" s="1"/>
  <c r="P352" i="13"/>
  <c r="O352" i="13"/>
  <c r="N350" i="13"/>
  <c r="M350" i="13"/>
  <c r="L350" i="13"/>
  <c r="L348" i="13" s="1"/>
  <c r="P349" i="13"/>
  <c r="O349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M333" i="13"/>
  <c r="M331" i="13" s="1"/>
  <c r="L333" i="13"/>
  <c r="L331" i="13" s="1"/>
  <c r="P332" i="13"/>
  <c r="O332" i="13"/>
  <c r="N329" i="13"/>
  <c r="M329" i="13"/>
  <c r="L329" i="13"/>
  <c r="I327" i="13"/>
  <c r="I325" i="13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M318" i="13" s="1"/>
  <c r="P318" i="13" s="1"/>
  <c r="L320" i="13"/>
  <c r="O320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N301" i="13" s="1"/>
  <c r="M303" i="13"/>
  <c r="M301" i="13" s="1"/>
  <c r="L303" i="13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J275" i="13" s="1"/>
  <c r="I287" i="13"/>
  <c r="I276" i="13" s="1"/>
  <c r="K276" i="13" s="1"/>
  <c r="N285" i="13"/>
  <c r="N283" i="13" s="1"/>
  <c r="M285" i="13"/>
  <c r="P285" i="13" s="1"/>
  <c r="L285" i="13"/>
  <c r="P284" i="13"/>
  <c r="O284" i="13"/>
  <c r="N282" i="13"/>
  <c r="N280" i="13" s="1"/>
  <c r="M282" i="13"/>
  <c r="M280" i="13" s="1"/>
  <c r="P280" i="13" s="1"/>
  <c r="L282" i="13"/>
  <c r="O282" i="13" s="1"/>
  <c r="P281" i="13"/>
  <c r="O281" i="13"/>
  <c r="O278" i="13"/>
  <c r="N278" i="13"/>
  <c r="M278" i="13"/>
  <c r="P278" i="13" s="1"/>
  <c r="L278" i="13"/>
  <c r="J276" i="13"/>
  <c r="I271" i="13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M264" i="13" s="1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N227" i="13" s="1"/>
  <c r="J237" i="13"/>
  <c r="K236" i="13"/>
  <c r="J236" i="13"/>
  <c r="I236" i="13"/>
  <c r="K235" i="13"/>
  <c r="J235" i="13"/>
  <c r="I235" i="13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M184" i="13" s="1"/>
  <c r="L186" i="13"/>
  <c r="P185" i="13"/>
  <c r="O185" i="13"/>
  <c r="P182" i="13"/>
  <c r="O182" i="13"/>
  <c r="N182" i="13"/>
  <c r="M182" i="13"/>
  <c r="L182" i="13"/>
  <c r="J180" i="13"/>
  <c r="J177" i="13"/>
  <c r="I176" i="13"/>
  <c r="I174" i="13" s="1"/>
  <c r="I164" i="13" s="1"/>
  <c r="J174" i="13"/>
  <c r="J164" i="13" s="1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M170" i="13"/>
  <c r="L170" i="13"/>
  <c r="L168" i="13" s="1"/>
  <c r="P169" i="13"/>
  <c r="O169" i="13"/>
  <c r="N166" i="13"/>
  <c r="M166" i="13"/>
  <c r="P166" i="13" s="1"/>
  <c r="L166" i="13"/>
  <c r="O166" i="13" s="1"/>
  <c r="I159" i="13"/>
  <c r="K159" i="13" s="1"/>
  <c r="N157" i="13"/>
  <c r="N155" i="13" s="1"/>
  <c r="M157" i="13"/>
  <c r="L157" i="13"/>
  <c r="O157" i="13" s="1"/>
  <c r="P156" i="13"/>
  <c r="O156" i="13"/>
  <c r="N154" i="13"/>
  <c r="M154" i="13"/>
  <c r="M152" i="13" s="1"/>
  <c r="L154" i="13"/>
  <c r="L152" i="13" s="1"/>
  <c r="P153" i="13"/>
  <c r="O153" i="13"/>
  <c r="P150" i="13"/>
  <c r="O150" i="13"/>
  <c r="N150" i="13"/>
  <c r="M150" i="13"/>
  <c r="L150" i="13"/>
  <c r="J148" i="13"/>
  <c r="I146" i="13"/>
  <c r="I145" i="13"/>
  <c r="K145" i="13" s="1"/>
  <c r="I144" i="13"/>
  <c r="K144" i="13" s="1"/>
  <c r="N140" i="13"/>
  <c r="N138" i="13" s="1"/>
  <c r="M140" i="13"/>
  <c r="M138" i="13" s="1"/>
  <c r="P138" i="13" s="1"/>
  <c r="L140" i="13"/>
  <c r="L138" i="13" s="1"/>
  <c r="O138" i="13" s="1"/>
  <c r="P139" i="13"/>
  <c r="O139" i="13"/>
  <c r="N137" i="13"/>
  <c r="N135" i="13" s="1"/>
  <c r="M137" i="13"/>
  <c r="M135" i="13" s="1"/>
  <c r="P135" i="13" s="1"/>
  <c r="L137" i="13"/>
  <c r="P136" i="13"/>
  <c r="O136" i="13"/>
  <c r="N133" i="13"/>
  <c r="M133" i="13"/>
  <c r="L133" i="13"/>
  <c r="O133" i="13" s="1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M122" i="13" s="1"/>
  <c r="P122" i="13" s="1"/>
  <c r="L124" i="13"/>
  <c r="O124" i="13" s="1"/>
  <c r="P123" i="13"/>
  <c r="O123" i="13"/>
  <c r="P120" i="13"/>
  <c r="O120" i="13"/>
  <c r="N120" i="13"/>
  <c r="M120" i="13"/>
  <c r="L120" i="13"/>
  <c r="K118" i="13"/>
  <c r="J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J86" i="13" s="1"/>
  <c r="I98" i="13"/>
  <c r="I86" i="13" s="1"/>
  <c r="K86" i="13" s="1"/>
  <c r="N96" i="13"/>
  <c r="N94" i="13" s="1"/>
  <c r="M96" i="13"/>
  <c r="M94" i="13" s="1"/>
  <c r="P94" i="13" s="1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P89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76" i="13"/>
  <c r="J64" i="13" s="1"/>
  <c r="N74" i="13"/>
  <c r="N72" i="13" s="1"/>
  <c r="M74" i="13"/>
  <c r="P74" i="13" s="1"/>
  <c r="L74" i="13"/>
  <c r="P73" i="13"/>
  <c r="O73" i="13"/>
  <c r="N71" i="13"/>
  <c r="M71" i="13"/>
  <c r="M69" i="13" s="1"/>
  <c r="L71" i="13"/>
  <c r="L69" i="13" s="1"/>
  <c r="P70" i="13"/>
  <c r="O70" i="13"/>
  <c r="P67" i="13"/>
  <c r="O67" i="13"/>
  <c r="N67" i="13"/>
  <c r="M67" i="13"/>
  <c r="L67" i="13"/>
  <c r="J65" i="13"/>
  <c r="N61" i="13"/>
  <c r="N59" i="13" s="1"/>
  <c r="M61" i="13"/>
  <c r="P61" i="13" s="1"/>
  <c r="L61" i="13"/>
  <c r="L59" i="13" s="1"/>
  <c r="O59" i="13" s="1"/>
  <c r="P60" i="13"/>
  <c r="O60" i="13"/>
  <c r="N58" i="13"/>
  <c r="M58" i="13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M47" i="13" s="1"/>
  <c r="P47" i="13" s="1"/>
  <c r="L49" i="13"/>
  <c r="L47" i="13" s="1"/>
  <c r="O47" i="13" s="1"/>
  <c r="P48" i="13"/>
  <c r="O48" i="13"/>
  <c r="N46" i="13"/>
  <c r="M46" i="13"/>
  <c r="M44" i="13" s="1"/>
  <c r="L46" i="13"/>
  <c r="P45" i="13"/>
  <c r="O45" i="13"/>
  <c r="N42" i="13"/>
  <c r="M42" i="13"/>
  <c r="L42" i="13"/>
  <c r="O42" i="13" s="1"/>
  <c r="P36" i="13"/>
  <c r="N36" i="13"/>
  <c r="N30" i="13" s="1"/>
  <c r="M36" i="13"/>
  <c r="P35" i="13"/>
  <c r="O35" i="13"/>
  <c r="N35" i="13"/>
  <c r="M35" i="13"/>
  <c r="L35" i="13"/>
  <c r="N34" i="13"/>
  <c r="M34" i="13"/>
  <c r="P34" i="13" s="1"/>
  <c r="N33" i="13"/>
  <c r="P32" i="13"/>
  <c r="O32" i="13"/>
  <c r="N32" i="13"/>
  <c r="N29" i="13" s="1"/>
  <c r="M32" i="13"/>
  <c r="M29" i="13" s="1"/>
  <c r="L32" i="13"/>
  <c r="O29" i="13"/>
  <c r="L29" i="13"/>
  <c r="N25" i="13"/>
  <c r="M25" i="13"/>
  <c r="P25" i="13" s="1"/>
  <c r="L25" i="13"/>
  <c r="O25" i="13" s="1"/>
  <c r="N22" i="13"/>
  <c r="M22" i="13"/>
  <c r="L22" i="13"/>
  <c r="O22" i="13" s="1"/>
  <c r="L19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N815" i="12"/>
  <c r="M815" i="12"/>
  <c r="P815" i="12" s="1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M807" i="12"/>
  <c r="L807" i="12"/>
  <c r="O807" i="12" s="1"/>
  <c r="P806" i="12"/>
  <c r="O806" i="12"/>
  <c r="N806" i="12"/>
  <c r="M806" i="12"/>
  <c r="L806" i="12"/>
  <c r="O805" i="12"/>
  <c r="L805" i="12"/>
  <c r="K804" i="12"/>
  <c r="J804" i="12"/>
  <c r="K802" i="12"/>
  <c r="J801" i="12"/>
  <c r="J800" i="12"/>
  <c r="J785" i="12" s="1"/>
  <c r="I800" i="12"/>
  <c r="I785" i="12" s="1"/>
  <c r="K785" i="12" s="1"/>
  <c r="P798" i="12"/>
  <c r="O798" i="12"/>
  <c r="P797" i="12"/>
  <c r="O797" i="12"/>
  <c r="O796" i="12"/>
  <c r="N796" i="12"/>
  <c r="M796" i="12"/>
  <c r="P796" i="12" s="1"/>
  <c r="L796" i="12"/>
  <c r="P791" i="12"/>
  <c r="N791" i="12"/>
  <c r="L791" i="12"/>
  <c r="L788" i="12" s="1"/>
  <c r="O788" i="12" s="1"/>
  <c r="P790" i="12"/>
  <c r="O790" i="12"/>
  <c r="P789" i="12"/>
  <c r="N789" i="12"/>
  <c r="M789" i="12"/>
  <c r="N788" i="12"/>
  <c r="M788" i="12"/>
  <c r="M786" i="12" s="1"/>
  <c r="P786" i="12" s="1"/>
  <c r="P787" i="12"/>
  <c r="N787" i="12"/>
  <c r="M787" i="12"/>
  <c r="L787" i="12"/>
  <c r="N786" i="12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N772" i="12" s="1"/>
  <c r="N770" i="12" s="1"/>
  <c r="P774" i="12"/>
  <c r="O774" i="12"/>
  <c r="O773" i="12"/>
  <c r="N773" i="12"/>
  <c r="M773" i="12"/>
  <c r="P773" i="12" s="1"/>
  <c r="L773" i="12"/>
  <c r="P772" i="12"/>
  <c r="M772" i="12"/>
  <c r="L772" i="12"/>
  <c r="P771" i="12"/>
  <c r="O771" i="12"/>
  <c r="N771" i="12"/>
  <c r="M771" i="12"/>
  <c r="L771" i="12"/>
  <c r="M770" i="12"/>
  <c r="P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P757" i="12"/>
  <c r="O757" i="12"/>
  <c r="M757" i="12"/>
  <c r="L757" i="12"/>
  <c r="P756" i="12"/>
  <c r="O756" i="12"/>
  <c r="M756" i="12"/>
  <c r="L756" i="12"/>
  <c r="N755" i="12"/>
  <c r="M755" i="12"/>
  <c r="L755" i="12"/>
  <c r="O755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N739" i="12" s="1"/>
  <c r="N737" i="12" s="1"/>
  <c r="P741" i="12"/>
  <c r="O741" i="12"/>
  <c r="O740" i="12"/>
  <c r="N740" i="12"/>
  <c r="M740" i="12"/>
  <c r="P740" i="12" s="1"/>
  <c r="L740" i="12"/>
  <c r="P739" i="12"/>
  <c r="M739" i="12"/>
  <c r="L739" i="12"/>
  <c r="P738" i="12"/>
  <c r="O738" i="12"/>
  <c r="N738" i="12"/>
  <c r="M738" i="12"/>
  <c r="L738" i="12"/>
  <c r="M737" i="12"/>
  <c r="P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L687" i="12" s="1"/>
  <c r="O686" i="12"/>
  <c r="N686" i="12"/>
  <c r="M686" i="12"/>
  <c r="P686" i="12" s="1"/>
  <c r="L686" i="12"/>
  <c r="J679" i="12"/>
  <c r="J678" i="12"/>
  <c r="I678" i="12"/>
  <c r="K678" i="12" s="1"/>
  <c r="J675" i="12"/>
  <c r="I671" i="12"/>
  <c r="K671" i="12" s="1"/>
  <c r="I670" i="12"/>
  <c r="K670" i="12" s="1"/>
  <c r="J669" i="12"/>
  <c r="I669" i="12"/>
  <c r="P667" i="12"/>
  <c r="O667" i="12"/>
  <c r="P666" i="12"/>
  <c r="O666" i="12"/>
  <c r="N665" i="12"/>
  <c r="M665" i="12"/>
  <c r="P665" i="12" s="1"/>
  <c r="L665" i="12"/>
  <c r="O665" i="12" s="1"/>
  <c r="N660" i="12"/>
  <c r="L660" i="12"/>
  <c r="M660" i="12" s="1"/>
  <c r="P659" i="12"/>
  <c r="O659" i="12"/>
  <c r="N658" i="12"/>
  <c r="N657" i="12"/>
  <c r="N655" i="12" s="1"/>
  <c r="P656" i="12"/>
  <c r="O656" i="12"/>
  <c r="N656" i="12"/>
  <c r="M656" i="12"/>
  <c r="L656" i="12"/>
  <c r="J654" i="12"/>
  <c r="K652" i="12"/>
  <c r="J652" i="12"/>
  <c r="J651" i="12"/>
  <c r="J628" i="12" s="1"/>
  <c r="I651" i="12"/>
  <c r="I628" i="12" s="1"/>
  <c r="K628" i="12" s="1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N632" i="12" s="1"/>
  <c r="L634" i="12"/>
  <c r="O634" i="12" s="1"/>
  <c r="P633" i="12"/>
  <c r="O633" i="12"/>
  <c r="M632" i="12"/>
  <c r="P632" i="12" s="1"/>
  <c r="P631" i="12"/>
  <c r="M631" i="12"/>
  <c r="P630" i="12"/>
  <c r="O630" i="12"/>
  <c r="N630" i="12"/>
  <c r="M630" i="12"/>
  <c r="L630" i="12"/>
  <c r="M629" i="12"/>
  <c r="P629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2" i="12" s="1"/>
  <c r="J596" i="12"/>
  <c r="J594" i="12" s="1"/>
  <c r="J595" i="12"/>
  <c r="I594" i="12"/>
  <c r="K594" i="12" s="1"/>
  <c r="I593" i="12"/>
  <c r="J583" i="12"/>
  <c r="J582" i="12"/>
  <c r="J576" i="12" s="1"/>
  <c r="J559" i="12" s="1"/>
  <c r="J543" i="12" s="1"/>
  <c r="J577" i="12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P555" i="12"/>
  <c r="N555" i="12"/>
  <c r="M555" i="12"/>
  <c r="N549" i="12"/>
  <c r="L549" i="12"/>
  <c r="M549" i="12" s="1"/>
  <c r="M546" i="12" s="1"/>
  <c r="P548" i="12"/>
  <c r="O548" i="12"/>
  <c r="P545" i="12"/>
  <c r="O545" i="12"/>
  <c r="N545" i="12"/>
  <c r="M545" i="12"/>
  <c r="L545" i="12"/>
  <c r="I542" i="12"/>
  <c r="K542" i="12" s="1"/>
  <c r="I541" i="12"/>
  <c r="K541" i="12" s="1"/>
  <c r="I540" i="12"/>
  <c r="I539" i="12"/>
  <c r="K539" i="12" s="1"/>
  <c r="I538" i="12"/>
  <c r="K538" i="12" s="1"/>
  <c r="I537" i="12"/>
  <c r="I522" i="12" s="1"/>
  <c r="K522" i="12" s="1"/>
  <c r="P535" i="12"/>
  <c r="L535" i="12"/>
  <c r="L533" i="12" s="1"/>
  <c r="O533" i="12" s="1"/>
  <c r="P534" i="12"/>
  <c r="O534" i="12"/>
  <c r="P533" i="12"/>
  <c r="N533" i="12"/>
  <c r="M533" i="12"/>
  <c r="P528" i="12"/>
  <c r="N528" i="12"/>
  <c r="L528" i="12"/>
  <c r="P527" i="12"/>
  <c r="O527" i="12"/>
  <c r="P526" i="12"/>
  <c r="N526" i="12"/>
  <c r="M526" i="12"/>
  <c r="P525" i="12"/>
  <c r="N525" i="12"/>
  <c r="N523" i="12" s="1"/>
  <c r="M525" i="12"/>
  <c r="N524" i="12"/>
  <c r="M524" i="12"/>
  <c r="L524" i="12"/>
  <c r="O524" i="12" s="1"/>
  <c r="K517" i="12"/>
  <c r="J517" i="12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P505" i="12"/>
  <c r="O505" i="12"/>
  <c r="M505" i="12"/>
  <c r="L505" i="12"/>
  <c r="P504" i="12"/>
  <c r="O504" i="12"/>
  <c r="M504" i="12"/>
  <c r="L504" i="12"/>
  <c r="N503" i="12"/>
  <c r="M503" i="12"/>
  <c r="L503" i="12"/>
  <c r="O503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M472" i="12" s="1"/>
  <c r="P471" i="12"/>
  <c r="O471" i="12"/>
  <c r="N470" i="12"/>
  <c r="N469" i="12"/>
  <c r="P468" i="12"/>
  <c r="N468" i="12"/>
  <c r="M468" i="12"/>
  <c r="L468" i="12"/>
  <c r="N467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I442" i="12" s="1"/>
  <c r="K442" i="12" s="1"/>
  <c r="K458" i="12"/>
  <c r="P456" i="12"/>
  <c r="L456" i="12"/>
  <c r="L454" i="12" s="1"/>
  <c r="O454" i="12" s="1"/>
  <c r="P455" i="12"/>
  <c r="O455" i="12"/>
  <c r="N454" i="12"/>
  <c r="M454" i="12"/>
  <c r="P454" i="12" s="1"/>
  <c r="N449" i="12"/>
  <c r="N447" i="12" s="1"/>
  <c r="L449" i="12"/>
  <c r="P448" i="12"/>
  <c r="O448" i="12"/>
  <c r="N446" i="12"/>
  <c r="N445" i="12"/>
  <c r="M445" i="12"/>
  <c r="P445" i="12" s="1"/>
  <c r="L445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K435" i="12" s="1"/>
  <c r="J434" i="12"/>
  <c r="J418" i="12" s="1"/>
  <c r="P431" i="12"/>
  <c r="L431" i="12"/>
  <c r="P430" i="12"/>
  <c r="O430" i="12"/>
  <c r="N429" i="12"/>
  <c r="M429" i="12"/>
  <c r="P429" i="12" s="1"/>
  <c r="N424" i="12"/>
  <c r="L424" i="12"/>
  <c r="M424" i="12" s="1"/>
  <c r="P423" i="12"/>
  <c r="O423" i="12"/>
  <c r="N422" i="12"/>
  <c r="N421" i="12"/>
  <c r="P420" i="12"/>
  <c r="O420" i="12"/>
  <c r="N420" i="12"/>
  <c r="M420" i="12"/>
  <c r="L420" i="12"/>
  <c r="N419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M407" i="12"/>
  <c r="L407" i="12"/>
  <c r="P406" i="12"/>
  <c r="O406" i="12"/>
  <c r="N403" i="12"/>
  <c r="M403" i="12"/>
  <c r="L403" i="12"/>
  <c r="O403" i="12" s="1"/>
  <c r="J401" i="12"/>
  <c r="I401" i="12"/>
  <c r="K401" i="12" s="1"/>
  <c r="K400" i="12"/>
  <c r="K399" i="12"/>
  <c r="N397" i="12"/>
  <c r="N395" i="12" s="1"/>
  <c r="M397" i="12"/>
  <c r="P397" i="12" s="1"/>
  <c r="L397" i="12"/>
  <c r="P396" i="12"/>
  <c r="O396" i="12"/>
  <c r="N394" i="12"/>
  <c r="M394" i="12"/>
  <c r="L394" i="12"/>
  <c r="L392" i="12" s="1"/>
  <c r="O392" i="12" s="1"/>
  <c r="P393" i="12"/>
  <c r="O393" i="12"/>
  <c r="P390" i="12"/>
  <c r="O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L350" i="12"/>
  <c r="L348" i="12" s="1"/>
  <c r="P349" i="12"/>
  <c r="O349" i="12"/>
  <c r="O346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P335" i="12"/>
  <c r="O335" i="12"/>
  <c r="N333" i="12"/>
  <c r="M333" i="12"/>
  <c r="L333" i="12"/>
  <c r="L331" i="12" s="1"/>
  <c r="P332" i="12"/>
  <c r="O332" i="12"/>
  <c r="O329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M318" i="12" s="1"/>
  <c r="P318" i="12" s="1"/>
  <c r="L320" i="12"/>
  <c r="P319" i="12"/>
  <c r="O319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M301" i="12" s="1"/>
  <c r="L303" i="12"/>
  <c r="L301" i="12" s="1"/>
  <c r="P302" i="12"/>
  <c r="O302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N285" i="12"/>
  <c r="N283" i="12" s="1"/>
  <c r="M285" i="12"/>
  <c r="M283" i="12" s="1"/>
  <c r="P283" i="12" s="1"/>
  <c r="L285" i="12"/>
  <c r="L283" i="12" s="1"/>
  <c r="O283" i="12" s="1"/>
  <c r="P284" i="12"/>
  <c r="O284" i="12"/>
  <c r="N282" i="12"/>
  <c r="N280" i="12" s="1"/>
  <c r="M282" i="12"/>
  <c r="L282" i="12"/>
  <c r="L280" i="12" s="1"/>
  <c r="O280" i="12" s="1"/>
  <c r="P281" i="12"/>
  <c r="O281" i="12"/>
  <c r="N278" i="12"/>
  <c r="M278" i="12"/>
  <c r="L278" i="12"/>
  <c r="J276" i="12"/>
  <c r="I275" i="12"/>
  <c r="K275" i="12" s="1"/>
  <c r="I271" i="12"/>
  <c r="K271" i="12" s="1"/>
  <c r="N269" i="12"/>
  <c r="N267" i="12" s="1"/>
  <c r="M269" i="12"/>
  <c r="P269" i="12" s="1"/>
  <c r="L269" i="12"/>
  <c r="P268" i="12"/>
  <c r="O268" i="12"/>
  <c r="N266" i="12"/>
  <c r="N264" i="12" s="1"/>
  <c r="M266" i="12"/>
  <c r="M264" i="12" s="1"/>
  <c r="L266" i="12"/>
  <c r="P265" i="12"/>
  <c r="O265" i="12"/>
  <c r="N262" i="12"/>
  <c r="M262" i="12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I237" i="12" s="1"/>
  <c r="L242" i="12"/>
  <c r="L241" i="12"/>
  <c r="L240" i="12"/>
  <c r="L239" i="12"/>
  <c r="P238" i="12"/>
  <c r="N238" i="12"/>
  <c r="J237" i="12"/>
  <c r="J236" i="12"/>
  <c r="K236" i="12" s="1"/>
  <c r="I236" i="12"/>
  <c r="K235" i="12"/>
  <c r="J235" i="12"/>
  <c r="I235" i="12"/>
  <c r="J233" i="12"/>
  <c r="N231" i="12"/>
  <c r="N230" i="12"/>
  <c r="N229" i="12"/>
  <c r="N228" i="12"/>
  <c r="J226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I197" i="12"/>
  <c r="J194" i="12"/>
  <c r="I193" i="12"/>
  <c r="I190" i="12" s="1"/>
  <c r="K190" i="12" s="1"/>
  <c r="P191" i="12"/>
  <c r="L191" i="12"/>
  <c r="O191" i="12" s="1"/>
  <c r="J190" i="12"/>
  <c r="N189" i="12"/>
  <c r="N187" i="12" s="1"/>
  <c r="M189" i="12"/>
  <c r="M187" i="12" s="1"/>
  <c r="P187" i="12" s="1"/>
  <c r="L189" i="12"/>
  <c r="L187" i="12" s="1"/>
  <c r="O187" i="12" s="1"/>
  <c r="P188" i="12"/>
  <c r="O188" i="12"/>
  <c r="N186" i="12"/>
  <c r="M186" i="12"/>
  <c r="L186" i="12"/>
  <c r="P185" i="12"/>
  <c r="O185" i="12"/>
  <c r="N182" i="12"/>
  <c r="M182" i="12"/>
  <c r="L182" i="12"/>
  <c r="J180" i="12"/>
  <c r="J177" i="12"/>
  <c r="I176" i="12"/>
  <c r="I174" i="12" s="1"/>
  <c r="J174" i="12"/>
  <c r="N173" i="12"/>
  <c r="N171" i="12" s="1"/>
  <c r="M173" i="12"/>
  <c r="M171" i="12" s="1"/>
  <c r="P171" i="12" s="1"/>
  <c r="L173" i="12"/>
  <c r="O173" i="12" s="1"/>
  <c r="P172" i="12"/>
  <c r="O172" i="12"/>
  <c r="N170" i="12"/>
  <c r="M170" i="12"/>
  <c r="L170" i="12"/>
  <c r="P169" i="12"/>
  <c r="O169" i="12"/>
  <c r="N166" i="12"/>
  <c r="M166" i="12"/>
  <c r="L166" i="12"/>
  <c r="J164" i="12"/>
  <c r="I159" i="12"/>
  <c r="K159" i="12" s="1"/>
  <c r="N157" i="12"/>
  <c r="N155" i="12" s="1"/>
  <c r="M157" i="12"/>
  <c r="P157" i="12" s="1"/>
  <c r="L157" i="12"/>
  <c r="P156" i="12"/>
  <c r="O156" i="12"/>
  <c r="N154" i="12"/>
  <c r="N152" i="12" s="1"/>
  <c r="M154" i="12"/>
  <c r="M152" i="12" s="1"/>
  <c r="L154" i="12"/>
  <c r="O154" i="12" s="1"/>
  <c r="P153" i="12"/>
  <c r="O153" i="12"/>
  <c r="P150" i="12"/>
  <c r="N150" i="12"/>
  <c r="M150" i="12"/>
  <c r="L150" i="12"/>
  <c r="O150" i="12" s="1"/>
  <c r="J148" i="12"/>
  <c r="I146" i="12"/>
  <c r="K146" i="12" s="1"/>
  <c r="I145" i="12"/>
  <c r="I143" i="12" s="1"/>
  <c r="I131" i="12" s="1"/>
  <c r="I144" i="12"/>
  <c r="K144" i="12" s="1"/>
  <c r="N140" i="12"/>
  <c r="N138" i="12" s="1"/>
  <c r="M140" i="12"/>
  <c r="M138" i="12" s="1"/>
  <c r="L140" i="12"/>
  <c r="L138" i="12" s="1"/>
  <c r="P139" i="12"/>
  <c r="O139" i="12"/>
  <c r="N137" i="12"/>
  <c r="N135" i="12" s="1"/>
  <c r="M137" i="12"/>
  <c r="L137" i="12"/>
  <c r="P136" i="12"/>
  <c r="O136" i="12"/>
  <c r="N133" i="12"/>
  <c r="M133" i="12"/>
  <c r="P133" i="12" s="1"/>
  <c r="L133" i="12"/>
  <c r="J130" i="12"/>
  <c r="N127" i="12"/>
  <c r="N125" i="12" s="1"/>
  <c r="M127" i="12"/>
  <c r="P127" i="12" s="1"/>
  <c r="L127" i="12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I86" i="12" s="1"/>
  <c r="K86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M93" i="12"/>
  <c r="L93" i="12"/>
  <c r="P92" i="12"/>
  <c r="O92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76" i="12"/>
  <c r="J64" i="12" s="1"/>
  <c r="N74" i="12"/>
  <c r="N72" i="12" s="1"/>
  <c r="M74" i="12"/>
  <c r="P74" i="12" s="1"/>
  <c r="L74" i="12"/>
  <c r="L72" i="12" s="1"/>
  <c r="O72" i="12" s="1"/>
  <c r="P73" i="12"/>
  <c r="O73" i="12"/>
  <c r="N71" i="12"/>
  <c r="N69" i="12" s="1"/>
  <c r="M71" i="12"/>
  <c r="L71" i="12"/>
  <c r="L69" i="12" s="1"/>
  <c r="O69" i="12" s="1"/>
  <c r="P70" i="12"/>
  <c r="O70" i="12"/>
  <c r="O67" i="12"/>
  <c r="N67" i="12"/>
  <c r="M67" i="12"/>
  <c r="L67" i="12"/>
  <c r="J65" i="12"/>
  <c r="N61" i="12"/>
  <c r="N59" i="12" s="1"/>
  <c r="M61" i="12"/>
  <c r="P61" i="12" s="1"/>
  <c r="L61" i="12"/>
  <c r="L59" i="12" s="1"/>
  <c r="O59" i="12" s="1"/>
  <c r="P60" i="12"/>
  <c r="O60" i="12"/>
  <c r="N58" i="12"/>
  <c r="N56" i="12" s="1"/>
  <c r="M58" i="12"/>
  <c r="M56" i="12" s="1"/>
  <c r="L58" i="12"/>
  <c r="L56" i="12" s="1"/>
  <c r="P57" i="12"/>
  <c r="O57" i="12"/>
  <c r="P54" i="12"/>
  <c r="N54" i="12"/>
  <c r="M54" i="12"/>
  <c r="L54" i="12"/>
  <c r="O54" i="12" s="1"/>
  <c r="N49" i="12"/>
  <c r="N47" i="12" s="1"/>
  <c r="M49" i="12"/>
  <c r="L49" i="12"/>
  <c r="P48" i="12"/>
  <c r="O48" i="12"/>
  <c r="N46" i="12"/>
  <c r="M46" i="12"/>
  <c r="M44" i="12" s="1"/>
  <c r="L46" i="12"/>
  <c r="L44" i="12" s="1"/>
  <c r="P45" i="12"/>
  <c r="O45" i="12"/>
  <c r="P42" i="12"/>
  <c r="O42" i="12"/>
  <c r="N42" i="12"/>
  <c r="M42" i="12"/>
  <c r="L42" i="12"/>
  <c r="P36" i="12"/>
  <c r="N36" i="12"/>
  <c r="M36" i="12"/>
  <c r="O35" i="12"/>
  <c r="N35" i="12"/>
  <c r="M35" i="12"/>
  <c r="L35" i="12"/>
  <c r="N33" i="12"/>
  <c r="N32" i="12"/>
  <c r="N31" i="12" s="1"/>
  <c r="M32" i="12"/>
  <c r="L32" i="12"/>
  <c r="N30" i="12"/>
  <c r="L29" i="12"/>
  <c r="P25" i="12"/>
  <c r="N25" i="12"/>
  <c r="M25" i="12"/>
  <c r="L25" i="12"/>
  <c r="O25" i="12" s="1"/>
  <c r="P22" i="12"/>
  <c r="O22" i="12"/>
  <c r="N22" i="12"/>
  <c r="M22" i="12"/>
  <c r="L22" i="12"/>
  <c r="P19" i="12"/>
  <c r="N19" i="12"/>
  <c r="M19" i="12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N815" i="11"/>
  <c r="M815" i="11"/>
  <c r="P815" i="11" s="1"/>
  <c r="L815" i="11"/>
  <c r="O815" i="11" s="1"/>
  <c r="P810" i="11"/>
  <c r="O810" i="11"/>
  <c r="N810" i="11"/>
  <c r="N808" i="11" s="1"/>
  <c r="P809" i="11"/>
  <c r="O809" i="11"/>
  <c r="P808" i="11"/>
  <c r="O808" i="11"/>
  <c r="M808" i="11"/>
  <c r="L808" i="11"/>
  <c r="M807" i="11"/>
  <c r="P807" i="11" s="1"/>
  <c r="L807" i="11"/>
  <c r="O807" i="11" s="1"/>
  <c r="N806" i="11"/>
  <c r="M806" i="11"/>
  <c r="P806" i="11" s="1"/>
  <c r="L806" i="11"/>
  <c r="O806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O796" i="11"/>
  <c r="N796" i="11"/>
  <c r="M796" i="11"/>
  <c r="P796" i="11" s="1"/>
  <c r="L796" i="11"/>
  <c r="P791" i="11"/>
  <c r="N791" i="11"/>
  <c r="N789" i="11" s="1"/>
  <c r="L791" i="11"/>
  <c r="O791" i="11" s="1"/>
  <c r="P790" i="11"/>
  <c r="O790" i="11"/>
  <c r="M789" i="11"/>
  <c r="P789" i="11" s="1"/>
  <c r="N788" i="11"/>
  <c r="M788" i="11"/>
  <c r="M786" i="11" s="1"/>
  <c r="P786" i="11" s="1"/>
  <c r="P787" i="11"/>
  <c r="N787" i="11"/>
  <c r="N786" i="11" s="1"/>
  <c r="M787" i="1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O773" i="11"/>
  <c r="N773" i="11"/>
  <c r="M773" i="11"/>
  <c r="P773" i="11" s="1"/>
  <c r="L773" i="11"/>
  <c r="P772" i="11"/>
  <c r="O772" i="11"/>
  <c r="N772" i="11"/>
  <c r="M772" i="11"/>
  <c r="L772" i="11"/>
  <c r="P771" i="11"/>
  <c r="N771" i="11"/>
  <c r="M771" i="11"/>
  <c r="L771" i="11"/>
  <c r="N770" i="11"/>
  <c r="M770" i="11"/>
  <c r="P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6" i="11" s="1"/>
  <c r="N754" i="11" s="1"/>
  <c r="P758" i="11"/>
  <c r="O758" i="11"/>
  <c r="O757" i="11"/>
  <c r="N757" i="11"/>
  <c r="M757" i="11"/>
  <c r="P757" i="11" s="1"/>
  <c r="L757" i="11"/>
  <c r="P756" i="11"/>
  <c r="O756" i="11"/>
  <c r="M756" i="11"/>
  <c r="L756" i="11"/>
  <c r="P755" i="11"/>
  <c r="N755" i="11"/>
  <c r="M755" i="11"/>
  <c r="L755" i="11"/>
  <c r="M754" i="11"/>
  <c r="P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O740" i="11"/>
  <c r="N740" i="11"/>
  <c r="M740" i="11"/>
  <c r="P740" i="11" s="1"/>
  <c r="L740" i="11"/>
  <c r="P739" i="11"/>
  <c r="O739" i="11"/>
  <c r="N739" i="11"/>
  <c r="M739" i="11"/>
  <c r="L739" i="11"/>
  <c r="P738" i="11"/>
  <c r="N738" i="11"/>
  <c r="M738" i="11"/>
  <c r="L738" i="11"/>
  <c r="N737" i="11"/>
  <c r="M737" i="11"/>
  <c r="P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P688" i="11"/>
  <c r="N688" i="11"/>
  <c r="M688" i="11"/>
  <c r="P687" i="11"/>
  <c r="M687" i="11"/>
  <c r="N686" i="1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P665" i="11"/>
  <c r="O665" i="11"/>
  <c r="N665" i="11"/>
  <c r="M665" i="11"/>
  <c r="L665" i="1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P656" i="11"/>
  <c r="N656" i="11"/>
  <c r="M656" i="11"/>
  <c r="L656" i="11"/>
  <c r="N655" i="11"/>
  <c r="M655" i="11"/>
  <c r="P655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8" i="11"/>
  <c r="N637" i="11"/>
  <c r="N634" i="11" s="1"/>
  <c r="L634" i="11"/>
  <c r="P633" i="11"/>
  <c r="O633" i="11"/>
  <c r="N630" i="1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4" i="11"/>
  <c r="I594" i="11"/>
  <c r="K594" i="11" s="1"/>
  <c r="I593" i="11"/>
  <c r="I592" i="11" s="1"/>
  <c r="J583" i="11"/>
  <c r="J577" i="11" s="1"/>
  <c r="J582" i="11"/>
  <c r="J576" i="11" s="1"/>
  <c r="J559" i="11" s="1"/>
  <c r="J543" i="11" s="1"/>
  <c r="I577" i="11"/>
  <c r="I576" i="11"/>
  <c r="I559" i="11" s="1"/>
  <c r="I543" i="11" s="1"/>
  <c r="J569" i="11"/>
  <c r="I569" i="1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P555" i="11"/>
  <c r="N555" i="11"/>
  <c r="M555" i="11"/>
  <c r="N553" i="11"/>
  <c r="N551" i="11"/>
  <c r="N549" i="11"/>
  <c r="L549" i="11"/>
  <c r="L547" i="11" s="1"/>
  <c r="P548" i="11"/>
  <c r="O548" i="11"/>
  <c r="P545" i="11"/>
  <c r="N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P534" i="11"/>
  <c r="O534" i="11"/>
  <c r="N533" i="11"/>
  <c r="M533" i="11"/>
  <c r="P533" i="11" s="1"/>
  <c r="P528" i="11"/>
  <c r="N528" i="11"/>
  <c r="L528" i="11"/>
  <c r="O528" i="11" s="1"/>
  <c r="P527" i="11"/>
  <c r="O527" i="11"/>
  <c r="N526" i="11"/>
  <c r="M526" i="11"/>
  <c r="P526" i="11" s="1"/>
  <c r="N525" i="11"/>
  <c r="M525" i="11"/>
  <c r="P525" i="11" s="1"/>
  <c r="P524" i="11"/>
  <c r="O524" i="11"/>
  <c r="N524" i="11"/>
  <c r="N523" i="11" s="1"/>
  <c r="M524" i="11"/>
  <c r="L524" i="11"/>
  <c r="P523" i="11"/>
  <c r="M523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N505" i="11"/>
  <c r="M505" i="11"/>
  <c r="P505" i="11" s="1"/>
  <c r="L505" i="11"/>
  <c r="O505" i="11" s="1"/>
  <c r="O504" i="11"/>
  <c r="N504" i="11"/>
  <c r="M504" i="11"/>
  <c r="P504" i="11" s="1"/>
  <c r="L504" i="11"/>
  <c r="P503" i="11"/>
  <c r="O503" i="11"/>
  <c r="N503" i="11"/>
  <c r="M503" i="11"/>
  <c r="L503" i="11"/>
  <c r="P502" i="11"/>
  <c r="M502" i="1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6" i="11"/>
  <c r="N473" i="11"/>
  <c r="N472" i="11"/>
  <c r="N469" i="11" s="1"/>
  <c r="N467" i="11" s="1"/>
  <c r="L472" i="11"/>
  <c r="P471" i="11"/>
  <c r="O471" i="11"/>
  <c r="N470" i="11"/>
  <c r="P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N446" i="11" s="1"/>
  <c r="N444" i="11" s="1"/>
  <c r="L449" i="11"/>
  <c r="P448" i="11"/>
  <c r="O448" i="11"/>
  <c r="P447" i="11"/>
  <c r="N447" i="11"/>
  <c r="M447" i="11"/>
  <c r="M446" i="11"/>
  <c r="P446" i="11" s="1"/>
  <c r="N445" i="11"/>
  <c r="M445" i="1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J434" i="11"/>
  <c r="P431" i="11"/>
  <c r="L431" i="11"/>
  <c r="P430" i="11"/>
  <c r="O430" i="11"/>
  <c r="P429" i="11"/>
  <c r="N429" i="11"/>
  <c r="M429" i="11"/>
  <c r="N428" i="11"/>
  <c r="N424" i="11" s="1"/>
  <c r="N425" i="11"/>
  <c r="L424" i="11"/>
  <c r="M424" i="11" s="1"/>
  <c r="M421" i="11" s="1"/>
  <c r="M419" i="11" s="1"/>
  <c r="P423" i="11"/>
  <c r="O423" i="11"/>
  <c r="P420" i="11"/>
  <c r="O420" i="11"/>
  <c r="N420" i="11"/>
  <c r="M420" i="11"/>
  <c r="L420" i="11"/>
  <c r="J418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M405" i="11" s="1"/>
  <c r="P405" i="11" s="1"/>
  <c r="L407" i="11"/>
  <c r="P406" i="11"/>
  <c r="O406" i="11"/>
  <c r="O403" i="11"/>
  <c r="N403" i="11"/>
  <c r="M403" i="11"/>
  <c r="L403" i="11"/>
  <c r="J401" i="11"/>
  <c r="I401" i="11"/>
  <c r="K401" i="11" s="1"/>
  <c r="K400" i="11"/>
  <c r="K399" i="11"/>
  <c r="N397" i="11"/>
  <c r="M397" i="11"/>
  <c r="M395" i="11" s="1"/>
  <c r="P395" i="11" s="1"/>
  <c r="L397" i="11"/>
  <c r="P396" i="11"/>
  <c r="O396" i="11"/>
  <c r="N394" i="11"/>
  <c r="N392" i="11" s="1"/>
  <c r="M394" i="11"/>
  <c r="M392" i="11" s="1"/>
  <c r="P392" i="11" s="1"/>
  <c r="L394" i="11"/>
  <c r="L392" i="11" s="1"/>
  <c r="O392" i="11" s="1"/>
  <c r="P393" i="11"/>
  <c r="O393" i="11"/>
  <c r="P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M350" i="11"/>
  <c r="M348" i="11" s="1"/>
  <c r="L350" i="11"/>
  <c r="P349" i="11"/>
  <c r="O349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M333" i="11"/>
  <c r="M331" i="11" s="1"/>
  <c r="L333" i="11"/>
  <c r="P332" i="11"/>
  <c r="O332" i="11"/>
  <c r="O329" i="11"/>
  <c r="N329" i="11"/>
  <c r="M329" i="11"/>
  <c r="L329" i="11"/>
  <c r="I327" i="11"/>
  <c r="I325" i="1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L320" i="11"/>
  <c r="O320" i="11" s="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L306" i="11"/>
  <c r="L304" i="11" s="1"/>
  <c r="O304" i="11" s="1"/>
  <c r="P305" i="11"/>
  <c r="O305" i="11"/>
  <c r="N303" i="11"/>
  <c r="N301" i="11" s="1"/>
  <c r="M303" i="11"/>
  <c r="M301" i="11" s="1"/>
  <c r="P301" i="11" s="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L282" i="11"/>
  <c r="L280" i="11" s="1"/>
  <c r="O280" i="11" s="1"/>
  <c r="P281" i="11"/>
  <c r="O281" i="11"/>
  <c r="P278" i="11"/>
  <c r="O278" i="11"/>
  <c r="N278" i="11"/>
  <c r="M278" i="11"/>
  <c r="L278" i="11"/>
  <c r="J276" i="11"/>
  <c r="I271" i="11"/>
  <c r="I260" i="11" s="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L266" i="11"/>
  <c r="L264" i="11" s="1"/>
  <c r="P265" i="11"/>
  <c r="O265" i="11"/>
  <c r="O262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I190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L184" i="11" s="1"/>
  <c r="P185" i="11"/>
  <c r="O185" i="11"/>
  <c r="O182" i="11"/>
  <c r="N182" i="11"/>
  <c r="M182" i="11"/>
  <c r="L182" i="11"/>
  <c r="J177" i="11"/>
  <c r="I176" i="11"/>
  <c r="K176" i="11" s="1"/>
  <c r="J174" i="11"/>
  <c r="N173" i="11"/>
  <c r="N171" i="11" s="1"/>
  <c r="M173" i="11"/>
  <c r="M171" i="11" s="1"/>
  <c r="P171" i="11" s="1"/>
  <c r="L173" i="11"/>
  <c r="L171" i="11" s="1"/>
  <c r="O171" i="11" s="1"/>
  <c r="P172" i="11"/>
  <c r="O172" i="11"/>
  <c r="N170" i="11"/>
  <c r="N168" i="11" s="1"/>
  <c r="M170" i="11"/>
  <c r="L170" i="11"/>
  <c r="P169" i="11"/>
  <c r="O169" i="11"/>
  <c r="P166" i="11"/>
  <c r="N166" i="11"/>
  <c r="M166" i="11"/>
  <c r="L166" i="11"/>
  <c r="J164" i="11"/>
  <c r="I159" i="11"/>
  <c r="K159" i="11" s="1"/>
  <c r="N157" i="11"/>
  <c r="N155" i="11" s="1"/>
  <c r="M157" i="11"/>
  <c r="L157" i="11"/>
  <c r="P156" i="11"/>
  <c r="O156" i="11"/>
  <c r="N154" i="11"/>
  <c r="M154" i="11"/>
  <c r="M152" i="11" s="1"/>
  <c r="L154" i="11"/>
  <c r="L152" i="11" s="1"/>
  <c r="P153" i="11"/>
  <c r="O153" i="11"/>
  <c r="P150" i="11"/>
  <c r="N150" i="11"/>
  <c r="M150" i="11"/>
  <c r="L150" i="11"/>
  <c r="J148" i="11"/>
  <c r="I146" i="11"/>
  <c r="I145" i="11"/>
  <c r="I143" i="11" s="1"/>
  <c r="K143" i="11" s="1"/>
  <c r="I144" i="11"/>
  <c r="K144" i="11" s="1"/>
  <c r="N140" i="11"/>
  <c r="N138" i="11" s="1"/>
  <c r="M140" i="11"/>
  <c r="L140" i="11"/>
  <c r="O140" i="11" s="1"/>
  <c r="P139" i="11"/>
  <c r="O139" i="11"/>
  <c r="N137" i="11"/>
  <c r="N135" i="11" s="1"/>
  <c r="M137" i="11"/>
  <c r="P137" i="11" s="1"/>
  <c r="L137" i="11"/>
  <c r="P136" i="11"/>
  <c r="O136" i="11"/>
  <c r="N133" i="11"/>
  <c r="M133" i="11"/>
  <c r="L133" i="11"/>
  <c r="J130" i="11"/>
  <c r="N127" i="11"/>
  <c r="N125" i="11" s="1"/>
  <c r="M127" i="11"/>
  <c r="L127" i="11"/>
  <c r="O127" i="11" s="1"/>
  <c r="P126" i="11"/>
  <c r="O126" i="11"/>
  <c r="N124" i="11"/>
  <c r="M124" i="11"/>
  <c r="P124" i="11" s="1"/>
  <c r="L124" i="11"/>
  <c r="L122" i="11" s="1"/>
  <c r="O122" i="11" s="1"/>
  <c r="P123" i="11"/>
  <c r="O123" i="11"/>
  <c r="P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I98" i="11"/>
  <c r="I86" i="11" s="1"/>
  <c r="K86" i="11" s="1"/>
  <c r="N96" i="11"/>
  <c r="N94" i="11" s="1"/>
  <c r="M96" i="11"/>
  <c r="M94" i="11" s="1"/>
  <c r="P94" i="11" s="1"/>
  <c r="L96" i="11"/>
  <c r="L94" i="11" s="1"/>
  <c r="O94" i="11" s="1"/>
  <c r="P95" i="11"/>
  <c r="O95" i="11"/>
  <c r="N93" i="11"/>
  <c r="N91" i="11" s="1"/>
  <c r="M93" i="11"/>
  <c r="L93" i="11"/>
  <c r="P92" i="11"/>
  <c r="O92" i="11"/>
  <c r="P89" i="11"/>
  <c r="N89" i="11"/>
  <c r="M89" i="11"/>
  <c r="L89" i="11"/>
  <c r="J87" i="11"/>
  <c r="J86" i="11"/>
  <c r="I84" i="11"/>
  <c r="K84" i="11" s="1"/>
  <c r="I83" i="11"/>
  <c r="K83" i="11" s="1"/>
  <c r="I82" i="11"/>
  <c r="I81" i="11"/>
  <c r="K81" i="11" s="1"/>
  <c r="I80" i="11"/>
  <c r="K80" i="11" s="1"/>
  <c r="I79" i="11"/>
  <c r="I78" i="11"/>
  <c r="K78" i="11" s="1"/>
  <c r="J77" i="11"/>
  <c r="J76" i="11"/>
  <c r="N74" i="11"/>
  <c r="N72" i="11" s="1"/>
  <c r="M74" i="11"/>
  <c r="M72" i="11" s="1"/>
  <c r="P72" i="11" s="1"/>
  <c r="L74" i="11"/>
  <c r="L72" i="11" s="1"/>
  <c r="O72" i="11" s="1"/>
  <c r="P73" i="11"/>
  <c r="O73" i="11"/>
  <c r="N71" i="11"/>
  <c r="M71" i="11"/>
  <c r="L71" i="11"/>
  <c r="O71" i="11" s="1"/>
  <c r="P70" i="11"/>
  <c r="O70" i="11"/>
  <c r="N67" i="11"/>
  <c r="M67" i="11"/>
  <c r="L67" i="11"/>
  <c r="J65" i="11"/>
  <c r="J64" i="11"/>
  <c r="N61" i="11"/>
  <c r="N59" i="11" s="1"/>
  <c r="M61" i="11"/>
  <c r="P61" i="11" s="1"/>
  <c r="L61" i="11"/>
  <c r="P60" i="11"/>
  <c r="O60" i="11"/>
  <c r="N58" i="11"/>
  <c r="N56" i="11" s="1"/>
  <c r="M58" i="11"/>
  <c r="M56" i="11" s="1"/>
  <c r="L58" i="11"/>
  <c r="P57" i="11"/>
  <c r="O57" i="11"/>
  <c r="N54" i="11"/>
  <c r="M54" i="11"/>
  <c r="P54" i="11" s="1"/>
  <c r="L54" i="11"/>
  <c r="N49" i="11"/>
  <c r="N47" i="11" s="1"/>
  <c r="M49" i="11"/>
  <c r="M47" i="11" s="1"/>
  <c r="P47" i="11" s="1"/>
  <c r="L49" i="11"/>
  <c r="O49" i="11" s="1"/>
  <c r="P48" i="11"/>
  <c r="O48" i="11"/>
  <c r="N46" i="11"/>
  <c r="M46" i="11"/>
  <c r="M44" i="11" s="1"/>
  <c r="L46" i="11"/>
  <c r="P45" i="11"/>
  <c r="O45" i="11"/>
  <c r="N42" i="11"/>
  <c r="M42" i="11"/>
  <c r="L42" i="11"/>
  <c r="O42" i="11" s="1"/>
  <c r="P36" i="11"/>
  <c r="N36" i="11"/>
  <c r="M36" i="11"/>
  <c r="N35" i="11"/>
  <c r="N34" i="11" s="1"/>
  <c r="M35" i="11"/>
  <c r="L35" i="11"/>
  <c r="N33" i="11"/>
  <c r="N30" i="11" s="1"/>
  <c r="P32" i="11"/>
  <c r="N32" i="11"/>
  <c r="N31" i="11" s="1"/>
  <c r="M32" i="11"/>
  <c r="M29" i="11" s="1"/>
  <c r="L32" i="11"/>
  <c r="N25" i="11"/>
  <c r="N15" i="11" s="1"/>
  <c r="M25" i="11"/>
  <c r="P25" i="11" s="1"/>
  <c r="L25" i="11"/>
  <c r="L15" i="11" s="1"/>
  <c r="P22" i="11"/>
  <c r="N22" i="11"/>
  <c r="N12" i="11" s="1"/>
  <c r="M22" i="11"/>
  <c r="L22" i="11"/>
  <c r="O22" i="11" s="1"/>
  <c r="O19" i="11"/>
  <c r="M19" i="11"/>
  <c r="L19" i="11"/>
  <c r="M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N815" i="10"/>
  <c r="M815" i="10"/>
  <c r="P815" i="10" s="1"/>
  <c r="L815" i="10"/>
  <c r="O815" i="10" s="1"/>
  <c r="P810" i="10"/>
  <c r="O810" i="10"/>
  <c r="N810" i="10"/>
  <c r="N807" i="10" s="1"/>
  <c r="N805" i="10" s="1"/>
  <c r="P809" i="10"/>
  <c r="O809" i="10"/>
  <c r="P808" i="10"/>
  <c r="O808" i="10"/>
  <c r="N808" i="10"/>
  <c r="M808" i="10"/>
  <c r="L808" i="10"/>
  <c r="M807" i="10"/>
  <c r="L807" i="10"/>
  <c r="O807" i="10" s="1"/>
  <c r="N806" i="10"/>
  <c r="M806" i="10"/>
  <c r="P806" i="10" s="1"/>
  <c r="L806" i="10"/>
  <c r="O806" i="10" s="1"/>
  <c r="K804" i="10"/>
  <c r="J804" i="10"/>
  <c r="K802" i="10"/>
  <c r="J801" i="10"/>
  <c r="J800" i="10"/>
  <c r="J785" i="10" s="1"/>
  <c r="I800" i="10"/>
  <c r="I785" i="10" s="1"/>
  <c r="K785" i="10" s="1"/>
  <c r="P798" i="10"/>
  <c r="O798" i="10"/>
  <c r="P797" i="10"/>
  <c r="O797" i="10"/>
  <c r="O796" i="10"/>
  <c r="N796" i="10"/>
  <c r="M796" i="10"/>
  <c r="P796" i="10" s="1"/>
  <c r="L796" i="10"/>
  <c r="P791" i="10"/>
  <c r="N791" i="10"/>
  <c r="N789" i="10" s="1"/>
  <c r="L791" i="10"/>
  <c r="P790" i="10"/>
  <c r="O790" i="10"/>
  <c r="P789" i="10"/>
  <c r="M789" i="10"/>
  <c r="N788" i="10"/>
  <c r="M788" i="10"/>
  <c r="M786" i="10" s="1"/>
  <c r="P786" i="10" s="1"/>
  <c r="P787" i="10"/>
  <c r="N787" i="10"/>
  <c r="N786" i="10" s="1"/>
  <c r="M787" i="10"/>
  <c r="L787" i="10"/>
  <c r="P782" i="10"/>
  <c r="O782" i="10"/>
  <c r="P781" i="10"/>
  <c r="O781" i="10"/>
  <c r="N780" i="10"/>
  <c r="M780" i="10"/>
  <c r="P780" i="10" s="1"/>
  <c r="L780" i="10"/>
  <c r="O780" i="10" s="1"/>
  <c r="P775" i="10"/>
  <c r="O775" i="10"/>
  <c r="N775" i="10"/>
  <c r="P774" i="10"/>
  <c r="O774" i="10"/>
  <c r="O773" i="10"/>
  <c r="N773" i="10"/>
  <c r="M773" i="10"/>
  <c r="P773" i="10" s="1"/>
  <c r="L773" i="10"/>
  <c r="P772" i="10"/>
  <c r="N772" i="10"/>
  <c r="M772" i="10"/>
  <c r="L772" i="10"/>
  <c r="P771" i="10"/>
  <c r="O771" i="10"/>
  <c r="N771" i="10"/>
  <c r="M771" i="10"/>
  <c r="L771" i="10"/>
  <c r="N770" i="10"/>
  <c r="M770" i="10"/>
  <c r="P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M757" i="10"/>
  <c r="P757" i="10" s="1"/>
  <c r="L757" i="10"/>
  <c r="P756" i="10"/>
  <c r="O756" i="10"/>
  <c r="M756" i="10"/>
  <c r="L756" i="10"/>
  <c r="N755" i="10"/>
  <c r="M755" i="10"/>
  <c r="L755" i="10"/>
  <c r="O755" i="10" s="1"/>
  <c r="K753" i="10"/>
  <c r="J753" i="10"/>
  <c r="P749" i="10"/>
  <c r="O749" i="10"/>
  <c r="P748" i="10"/>
  <c r="O748" i="10"/>
  <c r="N747" i="10"/>
  <c r="M747" i="10"/>
  <c r="P747" i="10" s="1"/>
  <c r="L747" i="10"/>
  <c r="O747" i="10" s="1"/>
  <c r="P742" i="10"/>
  <c r="O742" i="10"/>
  <c r="N742" i="10"/>
  <c r="P741" i="10"/>
  <c r="O741" i="10"/>
  <c r="O740" i="10"/>
  <c r="N740" i="10"/>
  <c r="M740" i="10"/>
  <c r="P740" i="10" s="1"/>
  <c r="L740" i="10"/>
  <c r="N739" i="10"/>
  <c r="M739" i="10"/>
  <c r="P739" i="10" s="1"/>
  <c r="L739" i="10"/>
  <c r="P738" i="10"/>
  <c r="O738" i="10"/>
  <c r="N738" i="10"/>
  <c r="M738" i="10"/>
  <c r="L738" i="10"/>
  <c r="N737" i="10"/>
  <c r="M737" i="10"/>
  <c r="P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N695" i="10"/>
  <c r="M695" i="10"/>
  <c r="P695" i="10" s="1"/>
  <c r="L695" i="10"/>
  <c r="O695" i="10" s="1"/>
  <c r="N690" i="10"/>
  <c r="N687" i="10" s="1"/>
  <c r="L690" i="10"/>
  <c r="O690" i="10" s="1"/>
  <c r="O686" i="10"/>
  <c r="N686" i="10"/>
  <c r="N685" i="10" s="1"/>
  <c r="M686" i="10"/>
  <c r="P686" i="10" s="1"/>
  <c r="L686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3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P659" i="10"/>
  <c r="O659" i="10"/>
  <c r="P658" i="10"/>
  <c r="N658" i="10"/>
  <c r="M658" i="10"/>
  <c r="M657" i="10"/>
  <c r="P656" i="10"/>
  <c r="N656" i="10"/>
  <c r="M656" i="10"/>
  <c r="L656" i="10"/>
  <c r="O656" i="10" s="1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N631" i="10" s="1"/>
  <c r="L634" i="10"/>
  <c r="P633" i="10"/>
  <c r="O633" i="10"/>
  <c r="N632" i="10"/>
  <c r="M632" i="10"/>
  <c r="P632" i="10" s="1"/>
  <c r="M631" i="10"/>
  <c r="P631" i="10" s="1"/>
  <c r="P630" i="10"/>
  <c r="O630" i="10"/>
  <c r="N630" i="10"/>
  <c r="M630" i="10"/>
  <c r="L630" i="10"/>
  <c r="M629" i="10"/>
  <c r="P629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I594" i="10"/>
  <c r="J593" i="10"/>
  <c r="J592" i="10" s="1"/>
  <c r="I593" i="10"/>
  <c r="I592" i="10" s="1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P557" i="10"/>
  <c r="L557" i="10"/>
  <c r="L555" i="10" s="1"/>
  <c r="O555" i="10" s="1"/>
  <c r="P556" i="10"/>
  <c r="O556" i="10"/>
  <c r="P555" i="10"/>
  <c r="N555" i="10"/>
  <c r="M555" i="10"/>
  <c r="M545" i="10" s="1"/>
  <c r="N549" i="10"/>
  <c r="N546" i="10" s="1"/>
  <c r="L549" i="10"/>
  <c r="P548" i="10"/>
  <c r="O548" i="10"/>
  <c r="N547" i="10"/>
  <c r="O545" i="10"/>
  <c r="N545" i="10"/>
  <c r="L545" i="10"/>
  <c r="J543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6" i="10" s="1"/>
  <c r="L528" i="10"/>
  <c r="L526" i="10" s="1"/>
  <c r="O526" i="10" s="1"/>
  <c r="P527" i="10"/>
  <c r="O527" i="10"/>
  <c r="M526" i="10"/>
  <c r="P526" i="10" s="1"/>
  <c r="N525" i="10"/>
  <c r="M525" i="10"/>
  <c r="P524" i="10"/>
  <c r="N524" i="10"/>
  <c r="N523" i="10" s="1"/>
  <c r="M524" i="10"/>
  <c r="L524" i="10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5" i="10" s="1"/>
  <c r="P506" i="10"/>
  <c r="O506" i="10"/>
  <c r="M505" i="10"/>
  <c r="P505" i="10" s="1"/>
  <c r="L505" i="10"/>
  <c r="O505" i="10" s="1"/>
  <c r="O504" i="10"/>
  <c r="N504" i="10"/>
  <c r="M504" i="10"/>
  <c r="P504" i="10" s="1"/>
  <c r="L504" i="10"/>
  <c r="O503" i="10"/>
  <c r="N503" i="10"/>
  <c r="N502" i="10" s="1"/>
  <c r="M503" i="10"/>
  <c r="P503" i="10" s="1"/>
  <c r="L503" i="10"/>
  <c r="L502" i="10" s="1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P472" i="10"/>
  <c r="N472" i="10"/>
  <c r="L472" i="10"/>
  <c r="L469" i="10" s="1"/>
  <c r="O469" i="10" s="1"/>
  <c r="P471" i="10"/>
  <c r="O471" i="10"/>
  <c r="P470" i="10"/>
  <c r="N470" i="10"/>
  <c r="M470" i="10"/>
  <c r="P469" i="10"/>
  <c r="N469" i="10"/>
  <c r="M469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I442" i="10" s="1"/>
  <c r="K458" i="10"/>
  <c r="P456" i="10"/>
  <c r="L456" i="10"/>
  <c r="P455" i="10"/>
  <c r="O455" i="10"/>
  <c r="N454" i="10"/>
  <c r="M454" i="10"/>
  <c r="P454" i="10" s="1"/>
  <c r="N449" i="10"/>
  <c r="L449" i="10"/>
  <c r="P448" i="10"/>
  <c r="O448" i="10"/>
  <c r="N445" i="10"/>
  <c r="M445" i="10"/>
  <c r="P445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I417" i="10" s="1"/>
  <c r="J434" i="10"/>
  <c r="J418" i="10" s="1"/>
  <c r="P431" i="10"/>
  <c r="L431" i="10"/>
  <c r="P430" i="10"/>
  <c r="O430" i="10"/>
  <c r="N429" i="10"/>
  <c r="M429" i="10"/>
  <c r="P429" i="10" s="1"/>
  <c r="N424" i="10"/>
  <c r="L424" i="10"/>
  <c r="M424" i="10" s="1"/>
  <c r="P423" i="10"/>
  <c r="O423" i="10"/>
  <c r="N422" i="10"/>
  <c r="N421" i="10"/>
  <c r="P420" i="10"/>
  <c r="N420" i="10"/>
  <c r="M420" i="10"/>
  <c r="L420" i="10"/>
  <c r="O420" i="10" s="1"/>
  <c r="N419" i="10"/>
  <c r="K413" i="10"/>
  <c r="K412" i="10"/>
  <c r="N410" i="10"/>
  <c r="N408" i="10" s="1"/>
  <c r="M410" i="10"/>
  <c r="P410" i="10" s="1"/>
  <c r="L410" i="10"/>
  <c r="P409" i="10"/>
  <c r="O409" i="10"/>
  <c r="N407" i="10"/>
  <c r="M407" i="10"/>
  <c r="P407" i="10" s="1"/>
  <c r="L407" i="10"/>
  <c r="O407" i="10" s="1"/>
  <c r="P406" i="10"/>
  <c r="O406" i="10"/>
  <c r="P403" i="10"/>
  <c r="N403" i="10"/>
  <c r="M403" i="10"/>
  <c r="L403" i="10"/>
  <c r="O403" i="10" s="1"/>
  <c r="J401" i="10"/>
  <c r="I401" i="10"/>
  <c r="K401" i="10" s="1"/>
  <c r="K400" i="10"/>
  <c r="K399" i="10"/>
  <c r="N397" i="10"/>
  <c r="M397" i="10"/>
  <c r="P397" i="10" s="1"/>
  <c r="L397" i="10"/>
  <c r="L395" i="10" s="1"/>
  <c r="O395" i="10" s="1"/>
  <c r="P396" i="10"/>
  <c r="O396" i="10"/>
  <c r="N394" i="10"/>
  <c r="N392" i="10" s="1"/>
  <c r="M394" i="10"/>
  <c r="L394" i="10"/>
  <c r="P393" i="10"/>
  <c r="O393" i="10"/>
  <c r="P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L353" i="10"/>
  <c r="P352" i="10"/>
  <c r="O352" i="10"/>
  <c r="N350" i="10"/>
  <c r="M350" i="10"/>
  <c r="M348" i="10" s="1"/>
  <c r="L350" i="10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M333" i="10"/>
  <c r="M331" i="10" s="1"/>
  <c r="L333" i="10"/>
  <c r="P332" i="10"/>
  <c r="O332" i="10"/>
  <c r="O329" i="10"/>
  <c r="N329" i="10"/>
  <c r="M329" i="10"/>
  <c r="L329" i="10"/>
  <c r="I327" i="10"/>
  <c r="I325" i="10"/>
  <c r="N323" i="10"/>
  <c r="N321" i="10" s="1"/>
  <c r="M323" i="10"/>
  <c r="M321" i="10" s="1"/>
  <c r="P321" i="10" s="1"/>
  <c r="L323" i="10"/>
  <c r="P322" i="10"/>
  <c r="O322" i="10"/>
  <c r="N320" i="10"/>
  <c r="M320" i="10"/>
  <c r="M318" i="10" s="1"/>
  <c r="P318" i="10" s="1"/>
  <c r="L320" i="10"/>
  <c r="L318" i="10" s="1"/>
  <c r="O318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M303" i="10"/>
  <c r="L303" i="10"/>
  <c r="P302" i="10"/>
  <c r="O302" i="10"/>
  <c r="P299" i="10"/>
  <c r="N299" i="10"/>
  <c r="M299" i="10"/>
  <c r="L299" i="10"/>
  <c r="O299" i="10" s="1"/>
  <c r="J297" i="10"/>
  <c r="I297" i="10"/>
  <c r="K297" i="10" s="1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N285" i="10"/>
  <c r="M285" i="10"/>
  <c r="P285" i="10" s="1"/>
  <c r="L285" i="10"/>
  <c r="L283" i="10" s="1"/>
  <c r="O283" i="10" s="1"/>
  <c r="P284" i="10"/>
  <c r="O284" i="10"/>
  <c r="N282" i="10"/>
  <c r="N280" i="10" s="1"/>
  <c r="M282" i="10"/>
  <c r="P282" i="10" s="1"/>
  <c r="L282" i="10"/>
  <c r="O282" i="10" s="1"/>
  <c r="P281" i="10"/>
  <c r="O281" i="10"/>
  <c r="O278" i="10"/>
  <c r="N278" i="10"/>
  <c r="M278" i="10"/>
  <c r="P278" i="10" s="1"/>
  <c r="L278" i="10"/>
  <c r="J276" i="10"/>
  <c r="I271" i="10"/>
  <c r="N269" i="10"/>
  <c r="N267" i="10" s="1"/>
  <c r="M269" i="10"/>
  <c r="M267" i="10" s="1"/>
  <c r="P267" i="10" s="1"/>
  <c r="L269" i="10"/>
  <c r="O269" i="10" s="1"/>
  <c r="P268" i="10"/>
  <c r="O268" i="10"/>
  <c r="N266" i="10"/>
  <c r="N264" i="10" s="1"/>
  <c r="M266" i="10"/>
  <c r="M264" i="10" s="1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J226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L187" i="10" s="1"/>
  <c r="O187" i="10" s="1"/>
  <c r="P188" i="10"/>
  <c r="O188" i="10"/>
  <c r="N186" i="10"/>
  <c r="N184" i="10" s="1"/>
  <c r="M186" i="10"/>
  <c r="L186" i="10"/>
  <c r="L184" i="10" s="1"/>
  <c r="P185" i="10"/>
  <c r="O185" i="10"/>
  <c r="N182" i="10"/>
  <c r="M182" i="10"/>
  <c r="L182" i="10"/>
  <c r="J180" i="10"/>
  <c r="J177" i="10"/>
  <c r="J164" i="10" s="1"/>
  <c r="I176" i="10"/>
  <c r="K176" i="10" s="1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N168" i="10" s="1"/>
  <c r="M170" i="10"/>
  <c r="L170" i="10"/>
  <c r="P169" i="10"/>
  <c r="O169" i="10"/>
  <c r="N166" i="10"/>
  <c r="M166" i="10"/>
  <c r="L166" i="10"/>
  <c r="I159" i="10"/>
  <c r="I148" i="10" s="1"/>
  <c r="K148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O150" i="10"/>
  <c r="N150" i="10"/>
  <c r="M150" i="10"/>
  <c r="L150" i="10"/>
  <c r="J148" i="10"/>
  <c r="I146" i="10"/>
  <c r="I145" i="10"/>
  <c r="I144" i="10"/>
  <c r="K144" i="10" s="1"/>
  <c r="N140" i="10"/>
  <c r="M140" i="10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N133" i="10"/>
  <c r="M133" i="10"/>
  <c r="L133" i="10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M124" i="10"/>
  <c r="M122" i="10" s="1"/>
  <c r="P122" i="10" s="1"/>
  <c r="L124" i="10"/>
  <c r="L122" i="10" s="1"/>
  <c r="O122" i="10" s="1"/>
  <c r="P123" i="10"/>
  <c r="O123" i="10"/>
  <c r="P120" i="10"/>
  <c r="O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K98" i="10" s="1"/>
  <c r="N96" i="10"/>
  <c r="N94" i="10" s="1"/>
  <c r="M96" i="10"/>
  <c r="P96" i="10" s="1"/>
  <c r="L96" i="10"/>
  <c r="L94" i="10" s="1"/>
  <c r="O94" i="10" s="1"/>
  <c r="P95" i="10"/>
  <c r="O95" i="10"/>
  <c r="N93" i="10"/>
  <c r="N91" i="10" s="1"/>
  <c r="M93" i="10"/>
  <c r="L93" i="10"/>
  <c r="P92" i="10"/>
  <c r="O92" i="10"/>
  <c r="N89" i="10"/>
  <c r="M89" i="10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J77" i="10"/>
  <c r="J76" i="10"/>
  <c r="N74" i="10"/>
  <c r="N72" i="10" s="1"/>
  <c r="M74" i="10"/>
  <c r="M72" i="10" s="1"/>
  <c r="P72" i="10" s="1"/>
  <c r="L74" i="10"/>
  <c r="O74" i="10" s="1"/>
  <c r="P73" i="10"/>
  <c r="O73" i="10"/>
  <c r="N71" i="10"/>
  <c r="M71" i="10"/>
  <c r="P71" i="10" s="1"/>
  <c r="L71" i="10"/>
  <c r="L69" i="10" s="1"/>
  <c r="O69" i="10" s="1"/>
  <c r="P70" i="10"/>
  <c r="O70" i="10"/>
  <c r="O67" i="10"/>
  <c r="N67" i="10"/>
  <c r="M67" i="10"/>
  <c r="L67" i="10"/>
  <c r="J65" i="10"/>
  <c r="J64" i="10"/>
  <c r="N61" i="10"/>
  <c r="N59" i="10" s="1"/>
  <c r="M61" i="10"/>
  <c r="P61" i="10" s="1"/>
  <c r="L61" i="10"/>
  <c r="O61" i="10" s="1"/>
  <c r="P60" i="10"/>
  <c r="O60" i="10"/>
  <c r="N58" i="10"/>
  <c r="N56" i="10" s="1"/>
  <c r="M58" i="10"/>
  <c r="M56" i="10" s="1"/>
  <c r="L58" i="10"/>
  <c r="P57" i="10"/>
  <c r="O57" i="10"/>
  <c r="O54" i="10"/>
  <c r="N54" i="10"/>
  <c r="M54" i="10"/>
  <c r="P54" i="10" s="1"/>
  <c r="L54" i="10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L44" i="10" s="1"/>
  <c r="P45" i="10"/>
  <c r="O45" i="10"/>
  <c r="P42" i="10"/>
  <c r="N42" i="10"/>
  <c r="M42" i="10"/>
  <c r="L42" i="10"/>
  <c r="O42" i="10" s="1"/>
  <c r="N36" i="10"/>
  <c r="M36" i="10"/>
  <c r="P36" i="10" s="1"/>
  <c r="N35" i="10"/>
  <c r="N34" i="10" s="1"/>
  <c r="M35" i="10"/>
  <c r="L35" i="10"/>
  <c r="N33" i="10"/>
  <c r="N32" i="10"/>
  <c r="N31" i="10" s="1"/>
  <c r="M32" i="10"/>
  <c r="M29" i="10" s="1"/>
  <c r="L32" i="10"/>
  <c r="L29" i="10" s="1"/>
  <c r="N30" i="10"/>
  <c r="P25" i="10"/>
  <c r="N25" i="10"/>
  <c r="M25" i="10"/>
  <c r="L25" i="10"/>
  <c r="L19" i="10" s="1"/>
  <c r="P22" i="10"/>
  <c r="N22" i="10"/>
  <c r="N19" i="10" s="1"/>
  <c r="M22" i="10"/>
  <c r="L22" i="10"/>
  <c r="O22" i="10" s="1"/>
  <c r="M19" i="10"/>
  <c r="P19" i="10" s="1"/>
  <c r="L15" i="10"/>
  <c r="O12" i="10"/>
  <c r="L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P806" i="9"/>
  <c r="N806" i="9"/>
  <c r="M806" i="9"/>
  <c r="L806" i="9"/>
  <c r="O806" i="9" s="1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L789" i="9" s="1"/>
  <c r="O789" i="9" s="1"/>
  <c r="P790" i="9"/>
  <c r="O790" i="9"/>
  <c r="P789" i="9"/>
  <c r="M789" i="9"/>
  <c r="M788" i="9"/>
  <c r="M786" i="9" s="1"/>
  <c r="P786" i="9" s="1"/>
  <c r="P787" i="9"/>
  <c r="N787" i="9"/>
  <c r="N786" i="9" s="1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M772" i="9"/>
  <c r="L772" i="9"/>
  <c r="P771" i="9"/>
  <c r="O771" i="9"/>
  <c r="N771" i="9"/>
  <c r="M771" i="9"/>
  <c r="L771" i="9"/>
  <c r="P770" i="9"/>
  <c r="N770" i="9"/>
  <c r="M770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O756" i="9"/>
  <c r="N756" i="9"/>
  <c r="N754" i="9" s="1"/>
  <c r="M756" i="9"/>
  <c r="L756" i="9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M739" i="9"/>
  <c r="L739" i="9"/>
  <c r="O739" i="9" s="1"/>
  <c r="P738" i="9"/>
  <c r="O738" i="9"/>
  <c r="N738" i="9"/>
  <c r="M738" i="9"/>
  <c r="L738" i="9"/>
  <c r="P737" i="9"/>
  <c r="N737" i="9"/>
  <c r="M737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N690" i="9"/>
  <c r="L690" i="9"/>
  <c r="M690" i="9" s="1"/>
  <c r="O686" i="9"/>
  <c r="N686" i="9"/>
  <c r="M686" i="9"/>
  <c r="L686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I654" i="9" s="1"/>
  <c r="K654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N655" i="9" s="1"/>
  <c r="L660" i="9"/>
  <c r="O660" i="9" s="1"/>
  <c r="P659" i="9"/>
  <c r="O659" i="9"/>
  <c r="P658" i="9"/>
  <c r="N658" i="9"/>
  <c r="M658" i="9"/>
  <c r="M657" i="9"/>
  <c r="P657" i="9" s="1"/>
  <c r="P656" i="9"/>
  <c r="N656" i="9"/>
  <c r="M656" i="9"/>
  <c r="L656" i="9"/>
  <c r="M655" i="9"/>
  <c r="P655" i="9" s="1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M631" i="9"/>
  <c r="P631" i="9" s="1"/>
  <c r="P630" i="9"/>
  <c r="O630" i="9"/>
  <c r="N630" i="9"/>
  <c r="N629" i="9" s="1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2" i="9" s="1"/>
  <c r="J596" i="9"/>
  <c r="J595" i="9"/>
  <c r="J594" i="9"/>
  <c r="I594" i="9"/>
  <c r="I593" i="9"/>
  <c r="I592" i="9" s="1"/>
  <c r="K592" i="9" s="1"/>
  <c r="J583" i="9"/>
  <c r="J577" i="9" s="1"/>
  <c r="J582" i="9"/>
  <c r="I577" i="9"/>
  <c r="K577" i="9" s="1"/>
  <c r="J576" i="9"/>
  <c r="J559" i="9" s="1"/>
  <c r="J543" i="9" s="1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M545" i="9" s="1"/>
  <c r="N549" i="9"/>
  <c r="N546" i="9" s="1"/>
  <c r="L549" i="9"/>
  <c r="M549" i="9" s="1"/>
  <c r="M546" i="9" s="1"/>
  <c r="P546" i="9" s="1"/>
  <c r="P548" i="9"/>
  <c r="O548" i="9"/>
  <c r="N547" i="9"/>
  <c r="P545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33" i="9" s="1"/>
  <c r="L528" i="9"/>
  <c r="O528" i="9" s="1"/>
  <c r="P527" i="9"/>
  <c r="O527" i="9"/>
  <c r="P526" i="9"/>
  <c r="M526" i="9"/>
  <c r="M525" i="9"/>
  <c r="P524" i="9"/>
  <c r="N524" i="9"/>
  <c r="M524" i="9"/>
  <c r="L524" i="9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P505" i="9"/>
  <c r="N505" i="9"/>
  <c r="M505" i="9"/>
  <c r="L505" i="9"/>
  <c r="O505" i="9" s="1"/>
  <c r="O504" i="9"/>
  <c r="N504" i="9"/>
  <c r="M504" i="9"/>
  <c r="L504" i="9"/>
  <c r="P503" i="9"/>
  <c r="N503" i="9"/>
  <c r="N502" i="9" s="1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N469" i="9" s="1"/>
  <c r="N467" i="9" s="1"/>
  <c r="L472" i="9"/>
  <c r="O472" i="9" s="1"/>
  <c r="P471" i="9"/>
  <c r="O471" i="9"/>
  <c r="P470" i="9"/>
  <c r="N470" i="9"/>
  <c r="M470" i="9"/>
  <c r="M469" i="9"/>
  <c r="P469" i="9" s="1"/>
  <c r="P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P449" i="9"/>
  <c r="N449" i="9"/>
  <c r="N447" i="9" s="1"/>
  <c r="L449" i="9"/>
  <c r="L446" i="9" s="1"/>
  <c r="P448" i="9"/>
  <c r="O448" i="9"/>
  <c r="P447" i="9"/>
  <c r="M447" i="9"/>
  <c r="N446" i="9"/>
  <c r="N444" i="9" s="1"/>
  <c r="M446" i="9"/>
  <c r="P446" i="9" s="1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L422" i="9" s="1"/>
  <c r="P423" i="9"/>
  <c r="O423" i="9"/>
  <c r="N422" i="9"/>
  <c r="P420" i="9"/>
  <c r="O420" i="9"/>
  <c r="N420" i="9"/>
  <c r="M420" i="9"/>
  <c r="L420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P406" i="9"/>
  <c r="O406" i="9"/>
  <c r="P403" i="9"/>
  <c r="O403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P393" i="9"/>
  <c r="O393" i="9"/>
  <c r="P390" i="9"/>
  <c r="O390" i="9"/>
  <c r="N390" i="9"/>
  <c r="M390" i="9"/>
  <c r="L390" i="9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L353" i="9"/>
  <c r="L351" i="9" s="1"/>
  <c r="P352" i="9"/>
  <c r="O352" i="9"/>
  <c r="N350" i="9"/>
  <c r="M350" i="9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L334" i="9" s="1"/>
  <c r="O334" i="9" s="1"/>
  <c r="P335" i="9"/>
  <c r="O335" i="9"/>
  <c r="N333" i="9"/>
  <c r="M333" i="9"/>
  <c r="M331" i="9" s="1"/>
  <c r="L333" i="9"/>
  <c r="L331" i="9" s="1"/>
  <c r="P332" i="9"/>
  <c r="O332" i="9"/>
  <c r="N329" i="9"/>
  <c r="M329" i="9"/>
  <c r="P329" i="9" s="1"/>
  <c r="L329" i="9"/>
  <c r="I327" i="9"/>
  <c r="I325" i="9"/>
  <c r="N323" i="9"/>
  <c r="N321" i="9" s="1"/>
  <c r="M323" i="9"/>
  <c r="L323" i="9"/>
  <c r="O323" i="9" s="1"/>
  <c r="P322" i="9"/>
  <c r="O322" i="9"/>
  <c r="N320" i="9"/>
  <c r="N318" i="9" s="1"/>
  <c r="M320" i="9"/>
  <c r="M318" i="9" s="1"/>
  <c r="P318" i="9" s="1"/>
  <c r="L320" i="9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P306" i="9" s="1"/>
  <c r="L306" i="9"/>
  <c r="P305" i="9"/>
  <c r="O305" i="9"/>
  <c r="N303" i="9"/>
  <c r="N301" i="9" s="1"/>
  <c r="M303" i="9"/>
  <c r="L303" i="9"/>
  <c r="L301" i="9" s="1"/>
  <c r="O301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I276" i="9" s="1"/>
  <c r="K276" i="9" s="1"/>
  <c r="N285" i="9"/>
  <c r="N283" i="9" s="1"/>
  <c r="M285" i="9"/>
  <c r="L285" i="9"/>
  <c r="O285" i="9" s="1"/>
  <c r="P284" i="9"/>
  <c r="O284" i="9"/>
  <c r="N282" i="9"/>
  <c r="M282" i="9"/>
  <c r="M280" i="9" s="1"/>
  <c r="P280" i="9" s="1"/>
  <c r="L282" i="9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O269" i="9" s="1"/>
  <c r="P268" i="9"/>
  <c r="O268" i="9"/>
  <c r="N266" i="9"/>
  <c r="M266" i="9"/>
  <c r="M264" i="9" s="1"/>
  <c r="L266" i="9"/>
  <c r="L264" i="9" s="1"/>
  <c r="P265" i="9"/>
  <c r="O265" i="9"/>
  <c r="P262" i="9"/>
  <c r="N262" i="9"/>
  <c r="M262" i="9"/>
  <c r="L262" i="9"/>
  <c r="J260" i="9"/>
  <c r="I260" i="9"/>
  <c r="K260" i="9" s="1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K236" i="9" s="1"/>
  <c r="I236" i="9"/>
  <c r="K235" i="9"/>
  <c r="J235" i="9"/>
  <c r="I235" i="9"/>
  <c r="J233" i="9"/>
  <c r="N231" i="9"/>
  <c r="N230" i="9"/>
  <c r="N229" i="9"/>
  <c r="N228" i="9"/>
  <c r="N227" i="9"/>
  <c r="J226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M186" i="9"/>
  <c r="L186" i="9"/>
  <c r="L184" i="9" s="1"/>
  <c r="P185" i="9"/>
  <c r="O185" i="9"/>
  <c r="P182" i="9"/>
  <c r="O182" i="9"/>
  <c r="N182" i="9"/>
  <c r="M182" i="9"/>
  <c r="L182" i="9"/>
  <c r="J180" i="9"/>
  <c r="J177" i="9"/>
  <c r="I176" i="9"/>
  <c r="I174" i="9" s="1"/>
  <c r="I164" i="9" s="1"/>
  <c r="K164" i="9" s="1"/>
  <c r="J174" i="9"/>
  <c r="J164" i="9" s="1"/>
  <c r="N173" i="9"/>
  <c r="N171" i="9" s="1"/>
  <c r="M173" i="9"/>
  <c r="P173" i="9" s="1"/>
  <c r="L173" i="9"/>
  <c r="P172" i="9"/>
  <c r="O172" i="9"/>
  <c r="N170" i="9"/>
  <c r="M170" i="9"/>
  <c r="L170" i="9"/>
  <c r="P169" i="9"/>
  <c r="O169" i="9"/>
  <c r="P166" i="9"/>
  <c r="O166" i="9"/>
  <c r="N166" i="9"/>
  <c r="M166" i="9"/>
  <c r="L166" i="9"/>
  <c r="I159" i="9"/>
  <c r="I148" i="9" s="1"/>
  <c r="K148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L152" i="9" s="1"/>
  <c r="O152" i="9" s="1"/>
  <c r="P153" i="9"/>
  <c r="O153" i="9"/>
  <c r="P150" i="9"/>
  <c r="O150" i="9"/>
  <c r="N150" i="9"/>
  <c r="M150" i="9"/>
  <c r="L150" i="9"/>
  <c r="J148" i="9"/>
  <c r="I146" i="9"/>
  <c r="K146" i="9" s="1"/>
  <c r="I145" i="9"/>
  <c r="K145" i="9" s="1"/>
  <c r="I144" i="9"/>
  <c r="N140" i="9"/>
  <c r="N138" i="9" s="1"/>
  <c r="M140" i="9"/>
  <c r="M138" i="9" s="1"/>
  <c r="P138" i="9" s="1"/>
  <c r="L140" i="9"/>
  <c r="P139" i="9"/>
  <c r="O139" i="9"/>
  <c r="N137" i="9"/>
  <c r="N135" i="9" s="1"/>
  <c r="M137" i="9"/>
  <c r="M135" i="9" s="1"/>
  <c r="P135" i="9" s="1"/>
  <c r="L137" i="9"/>
  <c r="P136" i="9"/>
  <c r="O136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M124" i="9"/>
  <c r="P124" i="9" s="1"/>
  <c r="L124" i="9"/>
  <c r="P123" i="9"/>
  <c r="O123" i="9"/>
  <c r="P120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J98" i="9"/>
  <c r="J86" i="9" s="1"/>
  <c r="I98" i="9"/>
  <c r="N96" i="9"/>
  <c r="N94" i="9" s="1"/>
  <c r="M96" i="9"/>
  <c r="P96" i="9" s="1"/>
  <c r="L96" i="9"/>
  <c r="L94" i="9" s="1"/>
  <c r="O94" i="9" s="1"/>
  <c r="P95" i="9"/>
  <c r="O95" i="9"/>
  <c r="N93" i="9"/>
  <c r="M93" i="9"/>
  <c r="L93" i="9"/>
  <c r="L91" i="9" s="1"/>
  <c r="P92" i="9"/>
  <c r="O92" i="9"/>
  <c r="P89" i="9"/>
  <c r="O89" i="9"/>
  <c r="N89" i="9"/>
  <c r="M89" i="9"/>
  <c r="L89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K78" i="9" s="1"/>
  <c r="J77" i="9"/>
  <c r="J65" i="9" s="1"/>
  <c r="J76" i="9"/>
  <c r="N74" i="9"/>
  <c r="N72" i="9" s="1"/>
  <c r="M74" i="9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P67" i="9"/>
  <c r="N67" i="9"/>
  <c r="M67" i="9"/>
  <c r="L67" i="9"/>
  <c r="J64" i="9"/>
  <c r="N61" i="9"/>
  <c r="N59" i="9" s="1"/>
  <c r="M61" i="9"/>
  <c r="M59" i="9" s="1"/>
  <c r="P59" i="9" s="1"/>
  <c r="L61" i="9"/>
  <c r="O61" i="9" s="1"/>
  <c r="P60" i="9"/>
  <c r="O60" i="9"/>
  <c r="N58" i="9"/>
  <c r="M58" i="9"/>
  <c r="M56" i="9" s="1"/>
  <c r="L58" i="9"/>
  <c r="L56" i="9" s="1"/>
  <c r="P57" i="9"/>
  <c r="O57" i="9"/>
  <c r="N54" i="9"/>
  <c r="M54" i="9"/>
  <c r="P54" i="9" s="1"/>
  <c r="L54" i="9"/>
  <c r="N49" i="9"/>
  <c r="M49" i="9"/>
  <c r="P49" i="9" s="1"/>
  <c r="L49" i="9"/>
  <c r="P48" i="9"/>
  <c r="O48" i="9"/>
  <c r="N46" i="9"/>
  <c r="M46" i="9"/>
  <c r="M44" i="9" s="1"/>
  <c r="L46" i="9"/>
  <c r="L44" i="9" s="1"/>
  <c r="P45" i="9"/>
  <c r="O45" i="9"/>
  <c r="P42" i="9"/>
  <c r="N42" i="9"/>
  <c r="M42" i="9"/>
  <c r="L42" i="9"/>
  <c r="P36" i="9"/>
  <c r="N36" i="9"/>
  <c r="N34" i="9" s="1"/>
  <c r="M36" i="9"/>
  <c r="O35" i="9"/>
  <c r="N35" i="9"/>
  <c r="M35" i="9"/>
  <c r="L35" i="9"/>
  <c r="O32" i="9"/>
  <c r="N32" i="9"/>
  <c r="N12" i="9" s="1"/>
  <c r="M32" i="9"/>
  <c r="P32" i="9" s="1"/>
  <c r="L32" i="9"/>
  <c r="M29" i="9"/>
  <c r="P25" i="9"/>
  <c r="O25" i="9"/>
  <c r="N25" i="9"/>
  <c r="M25" i="9"/>
  <c r="L25" i="9"/>
  <c r="P22" i="9"/>
  <c r="N22" i="9"/>
  <c r="M22" i="9"/>
  <c r="L22" i="9"/>
  <c r="L19" i="9" s="1"/>
  <c r="P19" i="9"/>
  <c r="O19" i="9"/>
  <c r="N19" i="9"/>
  <c r="M19" i="9"/>
  <c r="N15" i="9"/>
  <c r="L15" i="9"/>
  <c r="P12" i="9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O808" i="8"/>
  <c r="N808" i="8"/>
  <c r="M808" i="8"/>
  <c r="L808" i="8"/>
  <c r="O807" i="8"/>
  <c r="M807" i="8"/>
  <c r="L807" i="8"/>
  <c r="P806" i="8"/>
  <c r="N806" i="8"/>
  <c r="M806" i="8"/>
  <c r="L806" i="8"/>
  <c r="O806" i="8" s="1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L789" i="8" s="1"/>
  <c r="O789" i="8" s="1"/>
  <c r="P790" i="8"/>
  <c r="O790" i="8"/>
  <c r="P789" i="8"/>
  <c r="M789" i="8"/>
  <c r="M788" i="8"/>
  <c r="M786" i="8" s="1"/>
  <c r="P786" i="8" s="1"/>
  <c r="P787" i="8"/>
  <c r="N787" i="8"/>
  <c r="N786" i="8" s="1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M772" i="8"/>
  <c r="L772" i="8"/>
  <c r="P771" i="8"/>
  <c r="O771" i="8"/>
  <c r="N771" i="8"/>
  <c r="M771" i="8"/>
  <c r="L771" i="8"/>
  <c r="P770" i="8"/>
  <c r="N770" i="8"/>
  <c r="M770" i="8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M757" i="8"/>
  <c r="P757" i="8" s="1"/>
  <c r="L757" i="8"/>
  <c r="P756" i="8"/>
  <c r="O756" i="8"/>
  <c r="M756" i="8"/>
  <c r="L756" i="8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M739" i="8"/>
  <c r="L739" i="8"/>
  <c r="P738" i="8"/>
  <c r="O738" i="8"/>
  <c r="N738" i="8"/>
  <c r="M738" i="8"/>
  <c r="L738" i="8"/>
  <c r="P737" i="8"/>
  <c r="N737" i="8"/>
  <c r="M737" i="8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L690" i="8"/>
  <c r="M690" i="8" s="1"/>
  <c r="M687" i="8" s="1"/>
  <c r="O686" i="8"/>
  <c r="N686" i="8"/>
  <c r="M686" i="8"/>
  <c r="P686" i="8" s="1"/>
  <c r="L686" i="8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3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N655" i="8" s="1"/>
  <c r="O656" i="8"/>
  <c r="N656" i="8"/>
  <c r="M656" i="8"/>
  <c r="P656" i="8" s="1"/>
  <c r="L656" i="8"/>
  <c r="J654" i="8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N632" i="8"/>
  <c r="M632" i="8"/>
  <c r="P632" i="8" s="1"/>
  <c r="P631" i="8"/>
  <c r="N631" i="8"/>
  <c r="M631" i="8"/>
  <c r="P630" i="8"/>
  <c r="O630" i="8"/>
  <c r="N630" i="8"/>
  <c r="M630" i="8"/>
  <c r="L630" i="8"/>
  <c r="P629" i="8"/>
  <c r="N629" i="8"/>
  <c r="M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I593" i="8"/>
  <c r="I592" i="8" s="1"/>
  <c r="J583" i="8"/>
  <c r="J582" i="8"/>
  <c r="J576" i="8" s="1"/>
  <c r="J559" i="8" s="1"/>
  <c r="J543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N545" i="8" s="1"/>
  <c r="M555" i="8"/>
  <c r="N549" i="8"/>
  <c r="L549" i="8"/>
  <c r="M549" i="8" s="1"/>
  <c r="P548" i="8"/>
  <c r="O548" i="8"/>
  <c r="N546" i="8"/>
  <c r="O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O528" i="8" s="1"/>
  <c r="P527" i="8"/>
  <c r="O527" i="8"/>
  <c r="N526" i="8"/>
  <c r="M526" i="8"/>
  <c r="P526" i="8" s="1"/>
  <c r="P525" i="8"/>
  <c r="N525" i="8"/>
  <c r="N523" i="8" s="1"/>
  <c r="M525" i="8"/>
  <c r="O524" i="8"/>
  <c r="N524" i="8"/>
  <c r="M524" i="8"/>
  <c r="L524" i="8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5" i="8" s="1"/>
  <c r="P506" i="8"/>
  <c r="O506" i="8"/>
  <c r="O505" i="8"/>
  <c r="M505" i="8"/>
  <c r="P505" i="8" s="1"/>
  <c r="L505" i="8"/>
  <c r="P504" i="8"/>
  <c r="O504" i="8"/>
  <c r="N504" i="8"/>
  <c r="N502" i="8" s="1"/>
  <c r="M504" i="8"/>
  <c r="L504" i="8"/>
  <c r="O503" i="8"/>
  <c r="N503" i="8"/>
  <c r="M503" i="8"/>
  <c r="L503" i="8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N470" i="8" s="1"/>
  <c r="L472" i="8"/>
  <c r="P471" i="8"/>
  <c r="O471" i="8"/>
  <c r="P470" i="8"/>
  <c r="M470" i="8"/>
  <c r="P469" i="8"/>
  <c r="N469" i="8"/>
  <c r="M469" i="8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O456" i="8" s="1"/>
  <c r="P455" i="8"/>
  <c r="O455" i="8"/>
  <c r="N454" i="8"/>
  <c r="M454" i="8"/>
  <c r="P454" i="8" s="1"/>
  <c r="N449" i="8"/>
  <c r="L449" i="8"/>
  <c r="P448" i="8"/>
  <c r="O448" i="8"/>
  <c r="O445" i="8"/>
  <c r="N445" i="8"/>
  <c r="M445" i="8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J418" i="8" s="1"/>
  <c r="P431" i="8"/>
  <c r="L431" i="8"/>
  <c r="L429" i="8" s="1"/>
  <c r="O429" i="8" s="1"/>
  <c r="P430" i="8"/>
  <c r="O430" i="8"/>
  <c r="P429" i="8"/>
  <c r="N429" i="8"/>
  <c r="M429" i="8"/>
  <c r="N424" i="8"/>
  <c r="L424" i="8"/>
  <c r="M424" i="8" s="1"/>
  <c r="M421" i="8" s="1"/>
  <c r="P421" i="8" s="1"/>
  <c r="P423" i="8"/>
  <c r="O423" i="8"/>
  <c r="N422" i="8"/>
  <c r="N421" i="8"/>
  <c r="P420" i="8"/>
  <c r="N420" i="8"/>
  <c r="M420" i="8"/>
  <c r="L420" i="8"/>
  <c r="N419" i="8"/>
  <c r="K413" i="8"/>
  <c r="K412" i="8"/>
  <c r="N410" i="8"/>
  <c r="N408" i="8" s="1"/>
  <c r="M410" i="8"/>
  <c r="M408" i="8" s="1"/>
  <c r="P408" i="8" s="1"/>
  <c r="L410" i="8"/>
  <c r="L408" i="8" s="1"/>
  <c r="O408" i="8" s="1"/>
  <c r="P409" i="8"/>
  <c r="O409" i="8"/>
  <c r="N407" i="8"/>
  <c r="N405" i="8" s="1"/>
  <c r="M407" i="8"/>
  <c r="L407" i="8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M395" i="8" s="1"/>
  <c r="P395" i="8" s="1"/>
  <c r="L397" i="8"/>
  <c r="P396" i="8"/>
  <c r="O396" i="8"/>
  <c r="N394" i="8"/>
  <c r="N392" i="8" s="1"/>
  <c r="M394" i="8"/>
  <c r="L394" i="8"/>
  <c r="L392" i="8" s="1"/>
  <c r="O392" i="8" s="1"/>
  <c r="P393" i="8"/>
  <c r="O393" i="8"/>
  <c r="P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M353" i="8"/>
  <c r="L353" i="8"/>
  <c r="L351" i="8" s="1"/>
  <c r="P352" i="8"/>
  <c r="O352" i="8"/>
  <c r="N350" i="8"/>
  <c r="N348" i="8" s="1"/>
  <c r="M350" i="8"/>
  <c r="L350" i="8"/>
  <c r="L348" i="8" s="1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N331" i="8" s="1"/>
  <c r="M333" i="8"/>
  <c r="L333" i="8"/>
  <c r="L331" i="8" s="1"/>
  <c r="P332" i="8"/>
  <c r="O332" i="8"/>
  <c r="P329" i="8"/>
  <c r="N329" i="8"/>
  <c r="M329" i="8"/>
  <c r="L329" i="8"/>
  <c r="O329" i="8" s="1"/>
  <c r="I327" i="8"/>
  <c r="I325" i="8"/>
  <c r="N323" i="8"/>
  <c r="N321" i="8" s="1"/>
  <c r="M323" i="8"/>
  <c r="P323" i="8" s="1"/>
  <c r="L323" i="8"/>
  <c r="O323" i="8" s="1"/>
  <c r="P322" i="8"/>
  <c r="O322" i="8"/>
  <c r="N320" i="8"/>
  <c r="M320" i="8"/>
  <c r="P320" i="8" s="1"/>
  <c r="L320" i="8"/>
  <c r="L318" i="8" s="1"/>
  <c r="O318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L304" i="8" s="1"/>
  <c r="O304" i="8" s="1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M282" i="8"/>
  <c r="L282" i="8"/>
  <c r="L280" i="8" s="1"/>
  <c r="P281" i="8"/>
  <c r="O281" i="8"/>
  <c r="O278" i="8"/>
  <c r="N278" i="8"/>
  <c r="M278" i="8"/>
  <c r="P278" i="8" s="1"/>
  <c r="L278" i="8"/>
  <c r="J276" i="8"/>
  <c r="I271" i="8"/>
  <c r="N269" i="8"/>
  <c r="N267" i="8" s="1"/>
  <c r="M269" i="8"/>
  <c r="P269" i="8" s="1"/>
  <c r="L269" i="8"/>
  <c r="O269" i="8" s="1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O262" i="8" s="1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K235" i="8"/>
  <c r="J235" i="8"/>
  <c r="I235" i="8"/>
  <c r="J233" i="8"/>
  <c r="N231" i="8"/>
  <c r="N230" i="8"/>
  <c r="N229" i="8"/>
  <c r="N228" i="8"/>
  <c r="N227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N184" i="8" s="1"/>
  <c r="M186" i="8"/>
  <c r="L186" i="8"/>
  <c r="L184" i="8" s="1"/>
  <c r="P185" i="8"/>
  <c r="O185" i="8"/>
  <c r="P182" i="8"/>
  <c r="N182" i="8"/>
  <c r="M182" i="8"/>
  <c r="L182" i="8"/>
  <c r="O182" i="8" s="1"/>
  <c r="J177" i="8"/>
  <c r="I176" i="8"/>
  <c r="I174" i="8" s="1"/>
  <c r="J174" i="8"/>
  <c r="N173" i="8"/>
  <c r="N171" i="8" s="1"/>
  <c r="M173" i="8"/>
  <c r="P173" i="8" s="1"/>
  <c r="L173" i="8"/>
  <c r="O173" i="8" s="1"/>
  <c r="P172" i="8"/>
  <c r="O172" i="8"/>
  <c r="N170" i="8"/>
  <c r="M170" i="8"/>
  <c r="L170" i="8"/>
  <c r="O170" i="8" s="1"/>
  <c r="P169" i="8"/>
  <c r="O169" i="8"/>
  <c r="O166" i="8"/>
  <c r="N166" i="8"/>
  <c r="M166" i="8"/>
  <c r="P166" i="8" s="1"/>
  <c r="L166" i="8"/>
  <c r="J164" i="8"/>
  <c r="I159" i="8"/>
  <c r="K159" i="8" s="1"/>
  <c r="N157" i="8"/>
  <c r="M157" i="8"/>
  <c r="P157" i="8" s="1"/>
  <c r="L157" i="8"/>
  <c r="L155" i="8" s="1"/>
  <c r="O155" i="8" s="1"/>
  <c r="P156" i="8"/>
  <c r="O156" i="8"/>
  <c r="N154" i="8"/>
  <c r="N152" i="8" s="1"/>
  <c r="M154" i="8"/>
  <c r="P154" i="8" s="1"/>
  <c r="L154" i="8"/>
  <c r="O154" i="8" s="1"/>
  <c r="P153" i="8"/>
  <c r="O153" i="8"/>
  <c r="P150" i="8"/>
  <c r="N150" i="8"/>
  <c r="M150" i="8"/>
  <c r="L150" i="8"/>
  <c r="J148" i="8"/>
  <c r="I146" i="8"/>
  <c r="K146" i="8" s="1"/>
  <c r="I145" i="8"/>
  <c r="I144" i="8"/>
  <c r="K144" i="8" s="1"/>
  <c r="N140" i="8"/>
  <c r="N138" i="8" s="1"/>
  <c r="M140" i="8"/>
  <c r="P140" i="8" s="1"/>
  <c r="L140" i="8"/>
  <c r="L138" i="8" s="1"/>
  <c r="O138" i="8" s="1"/>
  <c r="P139" i="8"/>
  <c r="O139" i="8"/>
  <c r="N137" i="8"/>
  <c r="M137" i="8"/>
  <c r="M135" i="8" s="1"/>
  <c r="P135" i="8" s="1"/>
  <c r="L137" i="8"/>
  <c r="L135" i="8" s="1"/>
  <c r="O135" i="8" s="1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N120" i="8"/>
  <c r="M120" i="8"/>
  <c r="P120" i="8" s="1"/>
  <c r="L120" i="8"/>
  <c r="K118" i="8"/>
  <c r="J118" i="8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I98" i="8"/>
  <c r="I86" i="8" s="1"/>
  <c r="N96" i="8"/>
  <c r="N94" i="8" s="1"/>
  <c r="M96" i="8"/>
  <c r="L96" i="8"/>
  <c r="O96" i="8" s="1"/>
  <c r="P95" i="8"/>
  <c r="O95" i="8"/>
  <c r="N93" i="8"/>
  <c r="M93" i="8"/>
  <c r="L93" i="8"/>
  <c r="P92" i="8"/>
  <c r="O92" i="8"/>
  <c r="O89" i="8"/>
  <c r="N89" i="8"/>
  <c r="M89" i="8"/>
  <c r="P89" i="8" s="1"/>
  <c r="L89" i="8"/>
  <c r="J86" i="8"/>
  <c r="I84" i="8"/>
  <c r="K84" i="8" s="1"/>
  <c r="I83" i="8"/>
  <c r="K83" i="8" s="1"/>
  <c r="I82" i="8"/>
  <c r="K82" i="8" s="1"/>
  <c r="I81" i="8"/>
  <c r="K81" i="8" s="1"/>
  <c r="I80" i="8"/>
  <c r="I79" i="8"/>
  <c r="I78" i="8"/>
  <c r="K78" i="8" s="1"/>
  <c r="J77" i="8"/>
  <c r="J65" i="8" s="1"/>
  <c r="J76" i="8"/>
  <c r="N74" i="8"/>
  <c r="N72" i="8" s="1"/>
  <c r="M74" i="8"/>
  <c r="L74" i="8"/>
  <c r="O74" i="8" s="1"/>
  <c r="P73" i="8"/>
  <c r="O73" i="8"/>
  <c r="N71" i="8"/>
  <c r="M71" i="8"/>
  <c r="P71" i="8" s="1"/>
  <c r="L71" i="8"/>
  <c r="L69" i="8" s="1"/>
  <c r="O69" i="8" s="1"/>
  <c r="P70" i="8"/>
  <c r="O70" i="8"/>
  <c r="P67" i="8"/>
  <c r="O67" i="8"/>
  <c r="N67" i="8"/>
  <c r="M67" i="8"/>
  <c r="L67" i="8"/>
  <c r="J64" i="8"/>
  <c r="N61" i="8"/>
  <c r="N59" i="8" s="1"/>
  <c r="M61" i="8"/>
  <c r="P61" i="8" s="1"/>
  <c r="L61" i="8"/>
  <c r="P60" i="8"/>
  <c r="O60" i="8"/>
  <c r="N58" i="8"/>
  <c r="M58" i="8"/>
  <c r="L58" i="8"/>
  <c r="P57" i="8"/>
  <c r="O57" i="8"/>
  <c r="O54" i="8"/>
  <c r="N54" i="8"/>
  <c r="M54" i="8"/>
  <c r="L54" i="8"/>
  <c r="N49" i="8"/>
  <c r="N47" i="8" s="1"/>
  <c r="M49" i="8"/>
  <c r="P49" i="8" s="1"/>
  <c r="L49" i="8"/>
  <c r="P48" i="8"/>
  <c r="O48" i="8"/>
  <c r="N46" i="8"/>
  <c r="M46" i="8"/>
  <c r="L46" i="8"/>
  <c r="L44" i="8" s="1"/>
  <c r="P45" i="8"/>
  <c r="O45" i="8"/>
  <c r="N42" i="8"/>
  <c r="M42" i="8"/>
  <c r="P42" i="8" s="1"/>
  <c r="L42" i="8"/>
  <c r="N36" i="8"/>
  <c r="M36" i="8"/>
  <c r="P36" i="8" s="1"/>
  <c r="P35" i="8"/>
  <c r="N35" i="8"/>
  <c r="N34" i="8" s="1"/>
  <c r="M35" i="8"/>
  <c r="L35" i="8"/>
  <c r="O35" i="8" s="1"/>
  <c r="M34" i="8"/>
  <c r="P34" i="8" s="1"/>
  <c r="O32" i="8"/>
  <c r="N32" i="8"/>
  <c r="M32" i="8"/>
  <c r="L32" i="8"/>
  <c r="N29" i="8"/>
  <c r="L29" i="8"/>
  <c r="O25" i="8"/>
  <c r="N25" i="8"/>
  <c r="M25" i="8"/>
  <c r="P25" i="8" s="1"/>
  <c r="L25" i="8"/>
  <c r="N22" i="8"/>
  <c r="N12" i="8" s="1"/>
  <c r="M22" i="8"/>
  <c r="L22" i="8"/>
  <c r="N19" i="8"/>
  <c r="M19" i="8"/>
  <c r="O15" i="8"/>
  <c r="L15" i="8"/>
  <c r="L12" i="8"/>
  <c r="L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O808" i="7"/>
  <c r="N808" i="7"/>
  <c r="M808" i="7"/>
  <c r="L808" i="7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O796" i="7"/>
  <c r="N796" i="7"/>
  <c r="M796" i="7"/>
  <c r="P796" i="7" s="1"/>
  <c r="L796" i="7"/>
  <c r="P791" i="7"/>
  <c r="N791" i="7"/>
  <c r="L791" i="7"/>
  <c r="L789" i="7" s="1"/>
  <c r="O789" i="7" s="1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P774" i="7"/>
  <c r="O774" i="7"/>
  <c r="O773" i="7"/>
  <c r="N773" i="7"/>
  <c r="M773" i="7"/>
  <c r="P773" i="7" s="1"/>
  <c r="L773" i="7"/>
  <c r="P772" i="7"/>
  <c r="N772" i="7"/>
  <c r="M772" i="7"/>
  <c r="L772" i="7"/>
  <c r="O772" i="7" s="1"/>
  <c r="P771" i="7"/>
  <c r="O771" i="7"/>
  <c r="N771" i="7"/>
  <c r="M771" i="7"/>
  <c r="L771" i="7"/>
  <c r="P770" i="7"/>
  <c r="N770" i="7"/>
  <c r="M770" i="7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O756" i="7"/>
  <c r="N756" i="7"/>
  <c r="N754" i="7" s="1"/>
  <c r="M756" i="7"/>
  <c r="L756" i="7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O740" i="7"/>
  <c r="N740" i="7"/>
  <c r="M740" i="7"/>
  <c r="P740" i="7" s="1"/>
  <c r="L740" i="7"/>
  <c r="P739" i="7"/>
  <c r="N739" i="7"/>
  <c r="N737" i="7" s="1"/>
  <c r="M739" i="7"/>
  <c r="L739" i="7"/>
  <c r="O739" i="7" s="1"/>
  <c r="P738" i="7"/>
  <c r="O738" i="7"/>
  <c r="N738" i="7"/>
  <c r="M738" i="7"/>
  <c r="L738" i="7"/>
  <c r="P737" i="7"/>
  <c r="M737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L688" i="7" s="1"/>
  <c r="O688" i="7" s="1"/>
  <c r="P688" i="7"/>
  <c r="N688" i="7"/>
  <c r="M688" i="7"/>
  <c r="P687" i="7"/>
  <c r="M687" i="7"/>
  <c r="P686" i="7"/>
  <c r="N686" i="7"/>
  <c r="N685" i="7" s="1"/>
  <c r="M686" i="7"/>
  <c r="L686" i="7"/>
  <c r="M685" i="7"/>
  <c r="P685" i="7" s="1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P656" i="7"/>
  <c r="O656" i="7"/>
  <c r="N656" i="7"/>
  <c r="M656" i="7"/>
  <c r="L656" i="7"/>
  <c r="P655" i="7"/>
  <c r="N655" i="7"/>
  <c r="M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P639" i="7"/>
  <c r="N639" i="7"/>
  <c r="M639" i="7"/>
  <c r="N638" i="7"/>
  <c r="N634" i="7"/>
  <c r="L634" i="7"/>
  <c r="P633" i="7"/>
  <c r="O633" i="7"/>
  <c r="P630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K594" i="7" s="1"/>
  <c r="J593" i="7"/>
  <c r="I593" i="7"/>
  <c r="I592" i="7" s="1"/>
  <c r="J583" i="7"/>
  <c r="J582" i="7"/>
  <c r="J576" i="7" s="1"/>
  <c r="J559" i="7" s="1"/>
  <c r="J543" i="7" s="1"/>
  <c r="J577" i="7"/>
  <c r="I577" i="7"/>
  <c r="K577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N545" i="7" s="1"/>
  <c r="N544" i="7" s="1"/>
  <c r="M555" i="7"/>
  <c r="N553" i="7"/>
  <c r="N549" i="7" s="1"/>
  <c r="N546" i="7" s="1"/>
  <c r="L549" i="7"/>
  <c r="M549" i="7" s="1"/>
  <c r="P548" i="7"/>
  <c r="O548" i="7"/>
  <c r="N547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P534" i="7"/>
  <c r="O534" i="7"/>
  <c r="P533" i="7"/>
  <c r="N533" i="7"/>
  <c r="M533" i="7"/>
  <c r="P528" i="7"/>
  <c r="N528" i="7"/>
  <c r="N525" i="7" s="1"/>
  <c r="L528" i="7"/>
  <c r="L526" i="7" s="1"/>
  <c r="O526" i="7" s="1"/>
  <c r="P527" i="7"/>
  <c r="O527" i="7"/>
  <c r="P526" i="7"/>
  <c r="N526" i="7"/>
  <c r="M526" i="7"/>
  <c r="P525" i="7"/>
  <c r="M525" i="7"/>
  <c r="P524" i="7"/>
  <c r="N524" i="7"/>
  <c r="M524" i="7"/>
  <c r="L524" i="7"/>
  <c r="M523" i="7"/>
  <c r="P523" i="7" s="1"/>
  <c r="K517" i="7"/>
  <c r="J517" i="7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N505" i="7"/>
  <c r="M505" i="7"/>
  <c r="L505" i="7"/>
  <c r="O505" i="7" s="1"/>
  <c r="P504" i="7"/>
  <c r="O504" i="7"/>
  <c r="M504" i="7"/>
  <c r="L504" i="7"/>
  <c r="P503" i="7"/>
  <c r="N503" i="7"/>
  <c r="M503" i="7"/>
  <c r="L503" i="7"/>
  <c r="M502" i="7"/>
  <c r="P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4" i="7"/>
  <c r="N472" i="7" s="1"/>
  <c r="N469" i="7" s="1"/>
  <c r="L472" i="7"/>
  <c r="P471" i="7"/>
  <c r="O471" i="7"/>
  <c r="P468" i="7"/>
  <c r="N468" i="7"/>
  <c r="N467" i="7" s="1"/>
  <c r="M468" i="7"/>
  <c r="L468" i="7"/>
  <c r="J466" i="7"/>
  <c r="I466" i="7"/>
  <c r="K466" i="7" s="1"/>
  <c r="J465" i="7"/>
  <c r="I465" i="7"/>
  <c r="K465" i="7" s="1"/>
  <c r="I464" i="7"/>
  <c r="I463" i="7"/>
  <c r="I462" i="7"/>
  <c r="I443" i="7" s="1"/>
  <c r="K443" i="7" s="1"/>
  <c r="I460" i="7"/>
  <c r="K458" i="7"/>
  <c r="P456" i="7"/>
  <c r="L456" i="7"/>
  <c r="O456" i="7" s="1"/>
  <c r="P455" i="7"/>
  <c r="O455" i="7"/>
  <c r="P454" i="7"/>
  <c r="N454" i="7"/>
  <c r="M454" i="7"/>
  <c r="P449" i="7"/>
  <c r="N449" i="7"/>
  <c r="N446" i="7" s="1"/>
  <c r="L449" i="7"/>
  <c r="L447" i="7" s="1"/>
  <c r="O447" i="7" s="1"/>
  <c r="P448" i="7"/>
  <c r="O448" i="7"/>
  <c r="M447" i="7"/>
  <c r="P447" i="7" s="1"/>
  <c r="P446" i="7"/>
  <c r="M446" i="7"/>
  <c r="O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K435" i="7" s="1"/>
  <c r="J434" i="7"/>
  <c r="J418" i="7" s="1"/>
  <c r="P431" i="7"/>
  <c r="L431" i="7"/>
  <c r="L429" i="7" s="1"/>
  <c r="O429" i="7" s="1"/>
  <c r="P430" i="7"/>
  <c r="O430" i="7"/>
  <c r="P429" i="7"/>
  <c r="N429" i="7"/>
  <c r="M429" i="7"/>
  <c r="N424" i="7"/>
  <c r="L424" i="7"/>
  <c r="L422" i="7" s="1"/>
  <c r="P423" i="7"/>
  <c r="O423" i="7"/>
  <c r="N421" i="7"/>
  <c r="P420" i="7"/>
  <c r="N420" i="7"/>
  <c r="N419" i="7" s="1"/>
  <c r="M420" i="7"/>
  <c r="L420" i="7"/>
  <c r="K413" i="7"/>
  <c r="K412" i="7"/>
  <c r="N410" i="7"/>
  <c r="N408" i="7" s="1"/>
  <c r="M410" i="7"/>
  <c r="L410" i="7"/>
  <c r="O410" i="7" s="1"/>
  <c r="P409" i="7"/>
  <c r="O409" i="7"/>
  <c r="N407" i="7"/>
  <c r="N405" i="7" s="1"/>
  <c r="M407" i="7"/>
  <c r="L407" i="7"/>
  <c r="P406" i="7"/>
  <c r="O406" i="7"/>
  <c r="P403" i="7"/>
  <c r="O403" i="7"/>
  <c r="N403" i="7"/>
  <c r="M403" i="7"/>
  <c r="L403" i="7"/>
  <c r="K401" i="7"/>
  <c r="J401" i="7"/>
  <c r="I401" i="7"/>
  <c r="K400" i="7"/>
  <c r="K399" i="7"/>
  <c r="N397" i="7"/>
  <c r="N395" i="7" s="1"/>
  <c r="M397" i="7"/>
  <c r="P397" i="7" s="1"/>
  <c r="L397" i="7"/>
  <c r="P396" i="7"/>
  <c r="O396" i="7"/>
  <c r="N394" i="7"/>
  <c r="N392" i="7" s="1"/>
  <c r="M394" i="7"/>
  <c r="L394" i="7"/>
  <c r="P393" i="7"/>
  <c r="O393" i="7"/>
  <c r="P390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M348" i="7" s="1"/>
  <c r="L350" i="7"/>
  <c r="L348" i="7" s="1"/>
  <c r="P349" i="7"/>
  <c r="O349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P335" i="7"/>
  <c r="O335" i="7"/>
  <c r="N333" i="7"/>
  <c r="M333" i="7"/>
  <c r="L333" i="7"/>
  <c r="P332" i="7"/>
  <c r="O332" i="7"/>
  <c r="N329" i="7"/>
  <c r="M329" i="7"/>
  <c r="L329" i="7"/>
  <c r="I327" i="7"/>
  <c r="I325" i="7"/>
  <c r="N323" i="7"/>
  <c r="N321" i="7" s="1"/>
  <c r="M323" i="7"/>
  <c r="L323" i="7"/>
  <c r="P322" i="7"/>
  <c r="O322" i="7"/>
  <c r="N320" i="7"/>
  <c r="M320" i="7"/>
  <c r="P320" i="7" s="1"/>
  <c r="L320" i="7"/>
  <c r="O320" i="7" s="1"/>
  <c r="P319" i="7"/>
  <c r="O319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L301" i="7" s="1"/>
  <c r="O301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N285" i="7"/>
  <c r="N283" i="7" s="1"/>
  <c r="M285" i="7"/>
  <c r="M283" i="7" s="1"/>
  <c r="P283" i="7" s="1"/>
  <c r="L285" i="7"/>
  <c r="O285" i="7" s="1"/>
  <c r="P284" i="7"/>
  <c r="O284" i="7"/>
  <c r="N282" i="7"/>
  <c r="M282" i="7"/>
  <c r="P282" i="7" s="1"/>
  <c r="L282" i="7"/>
  <c r="O282" i="7" s="1"/>
  <c r="P281" i="7"/>
  <c r="O281" i="7"/>
  <c r="O278" i="7"/>
  <c r="N278" i="7"/>
  <c r="M278" i="7"/>
  <c r="L278" i="7"/>
  <c r="J276" i="7"/>
  <c r="I271" i="7"/>
  <c r="N269" i="7"/>
  <c r="N267" i="7" s="1"/>
  <c r="M269" i="7"/>
  <c r="M267" i="7" s="1"/>
  <c r="P267" i="7" s="1"/>
  <c r="L269" i="7"/>
  <c r="P268" i="7"/>
  <c r="O268" i="7"/>
  <c r="N266" i="7"/>
  <c r="M266" i="7"/>
  <c r="L266" i="7"/>
  <c r="L264" i="7" s="1"/>
  <c r="P265" i="7"/>
  <c r="O265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N227" i="7" s="1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K236" i="7"/>
  <c r="J236" i="7"/>
  <c r="I236" i="7"/>
  <c r="J235" i="7"/>
  <c r="I235" i="7"/>
  <c r="K235" i="7" s="1"/>
  <c r="J233" i="7"/>
  <c r="N231" i="7"/>
  <c r="N230" i="7"/>
  <c r="N229" i="7"/>
  <c r="N228" i="7"/>
  <c r="J226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N184" i="7" s="1"/>
  <c r="M186" i="7"/>
  <c r="M184" i="7" s="1"/>
  <c r="L186" i="7"/>
  <c r="P185" i="7"/>
  <c r="O185" i="7"/>
  <c r="O182" i="7"/>
  <c r="N182" i="7"/>
  <c r="M182" i="7"/>
  <c r="P182" i="7" s="1"/>
  <c r="L182" i="7"/>
  <c r="J180" i="7"/>
  <c r="J177" i="7"/>
  <c r="I176" i="7"/>
  <c r="I174" i="7" s="1"/>
  <c r="K174" i="7" s="1"/>
  <c r="J174" i="7"/>
  <c r="N173" i="7"/>
  <c r="N171" i="7" s="1"/>
  <c r="M173" i="7"/>
  <c r="P173" i="7" s="1"/>
  <c r="L173" i="7"/>
  <c r="P172" i="7"/>
  <c r="O172" i="7"/>
  <c r="N170" i="7"/>
  <c r="N168" i="7" s="1"/>
  <c r="M170" i="7"/>
  <c r="L170" i="7"/>
  <c r="P169" i="7"/>
  <c r="O169" i="7"/>
  <c r="O166" i="7"/>
  <c r="N166" i="7"/>
  <c r="M166" i="7"/>
  <c r="P166" i="7" s="1"/>
  <c r="L166" i="7"/>
  <c r="I159" i="7"/>
  <c r="I148" i="7" s="1"/>
  <c r="K148" i="7" s="1"/>
  <c r="N157" i="7"/>
  <c r="N155" i="7" s="1"/>
  <c r="M157" i="7"/>
  <c r="M155" i="7" s="1"/>
  <c r="P155" i="7" s="1"/>
  <c r="L157" i="7"/>
  <c r="O157" i="7" s="1"/>
  <c r="P156" i="7"/>
  <c r="O156" i="7"/>
  <c r="N154" i="7"/>
  <c r="N152" i="7" s="1"/>
  <c r="M154" i="7"/>
  <c r="M152" i="7" s="1"/>
  <c r="P152" i="7" s="1"/>
  <c r="L154" i="7"/>
  <c r="O154" i="7" s="1"/>
  <c r="P153" i="7"/>
  <c r="O153" i="7"/>
  <c r="O150" i="7"/>
  <c r="N150" i="7"/>
  <c r="M150" i="7"/>
  <c r="L150" i="7"/>
  <c r="J148" i="7"/>
  <c r="I146" i="7"/>
  <c r="I130" i="7" s="1"/>
  <c r="K130" i="7" s="1"/>
  <c r="I145" i="7"/>
  <c r="K145" i="7" s="1"/>
  <c r="I144" i="7"/>
  <c r="K144" i="7" s="1"/>
  <c r="N140" i="7"/>
  <c r="N138" i="7" s="1"/>
  <c r="M140" i="7"/>
  <c r="L140" i="7"/>
  <c r="O140" i="7" s="1"/>
  <c r="P139" i="7"/>
  <c r="O139" i="7"/>
  <c r="N137" i="7"/>
  <c r="N135" i="7" s="1"/>
  <c r="M137" i="7"/>
  <c r="L137" i="7"/>
  <c r="L135" i="7" s="1"/>
  <c r="O135" i="7" s="1"/>
  <c r="P136" i="7"/>
  <c r="O136" i="7"/>
  <c r="P133" i="7"/>
  <c r="N133" i="7"/>
  <c r="M133" i="7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M124" i="7"/>
  <c r="M122" i="7" s="1"/>
  <c r="P122" i="7" s="1"/>
  <c r="L124" i="7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K87" i="7" s="1"/>
  <c r="J98" i="7"/>
  <c r="I98" i="7"/>
  <c r="K98" i="7" s="1"/>
  <c r="N96" i="7"/>
  <c r="N94" i="7" s="1"/>
  <c r="M96" i="7"/>
  <c r="P96" i="7" s="1"/>
  <c r="L96" i="7"/>
  <c r="P95" i="7"/>
  <c r="O95" i="7"/>
  <c r="N93" i="7"/>
  <c r="N91" i="7" s="1"/>
  <c r="M93" i="7"/>
  <c r="M91" i="7" s="1"/>
  <c r="L93" i="7"/>
  <c r="P92" i="7"/>
  <c r="O92" i="7"/>
  <c r="O89" i="7"/>
  <c r="N89" i="7"/>
  <c r="M89" i="7"/>
  <c r="P89" i="7" s="1"/>
  <c r="L89" i="7"/>
  <c r="J86" i="7"/>
  <c r="I84" i="7"/>
  <c r="K84" i="7" s="1"/>
  <c r="I83" i="7"/>
  <c r="K83" i="7" s="1"/>
  <c r="I82" i="7"/>
  <c r="I81" i="7"/>
  <c r="K81" i="7" s="1"/>
  <c r="I80" i="7"/>
  <c r="K80" i="7" s="1"/>
  <c r="I79" i="7"/>
  <c r="I78" i="7"/>
  <c r="K78" i="7" s="1"/>
  <c r="J77" i="7"/>
  <c r="J65" i="7" s="1"/>
  <c r="J76" i="7"/>
  <c r="N74" i="7"/>
  <c r="N72" i="7" s="1"/>
  <c r="M74" i="7"/>
  <c r="P74" i="7" s="1"/>
  <c r="L74" i="7"/>
  <c r="L72" i="7" s="1"/>
  <c r="O72" i="7" s="1"/>
  <c r="P73" i="7"/>
  <c r="O73" i="7"/>
  <c r="N71" i="7"/>
  <c r="M71" i="7"/>
  <c r="L71" i="7"/>
  <c r="P70" i="7"/>
  <c r="O70" i="7"/>
  <c r="P67" i="7"/>
  <c r="N67" i="7"/>
  <c r="M67" i="7"/>
  <c r="L67" i="7"/>
  <c r="J64" i="7"/>
  <c r="N61" i="7"/>
  <c r="N59" i="7" s="1"/>
  <c r="M61" i="7"/>
  <c r="L61" i="7"/>
  <c r="L59" i="7" s="1"/>
  <c r="P60" i="7"/>
  <c r="O60" i="7"/>
  <c r="N58" i="7"/>
  <c r="M58" i="7"/>
  <c r="L58" i="7"/>
  <c r="L56" i="7" s="1"/>
  <c r="P57" i="7"/>
  <c r="O57" i="7"/>
  <c r="P54" i="7"/>
  <c r="O54" i="7"/>
  <c r="N54" i="7"/>
  <c r="M54" i="7"/>
  <c r="L54" i="7"/>
  <c r="N49" i="7"/>
  <c r="N47" i="7" s="1"/>
  <c r="M49" i="7"/>
  <c r="P49" i="7" s="1"/>
  <c r="L49" i="7"/>
  <c r="L47" i="7" s="1"/>
  <c r="O47" i="7" s="1"/>
  <c r="P48" i="7"/>
  <c r="O48" i="7"/>
  <c r="N46" i="7"/>
  <c r="M46" i="7"/>
  <c r="L46" i="7"/>
  <c r="P45" i="7"/>
  <c r="O45" i="7"/>
  <c r="P42" i="7"/>
  <c r="N42" i="7"/>
  <c r="M42" i="7"/>
  <c r="L42" i="7"/>
  <c r="O42" i="7" s="1"/>
  <c r="P36" i="7"/>
  <c r="N36" i="7"/>
  <c r="M36" i="7"/>
  <c r="P35" i="7"/>
  <c r="O35" i="7"/>
  <c r="N35" i="7"/>
  <c r="N34" i="7" s="1"/>
  <c r="M35" i="7"/>
  <c r="M34" i="7" s="1"/>
  <c r="P34" i="7" s="1"/>
  <c r="L35" i="7"/>
  <c r="N33" i="7"/>
  <c r="O32" i="7"/>
  <c r="N32" i="7"/>
  <c r="M32" i="7"/>
  <c r="L32" i="7"/>
  <c r="N30" i="7"/>
  <c r="L29" i="7"/>
  <c r="P25" i="7"/>
  <c r="O25" i="7"/>
  <c r="N25" i="7"/>
  <c r="M25" i="7"/>
  <c r="M15" i="7" s="1"/>
  <c r="L25" i="7"/>
  <c r="P22" i="7"/>
  <c r="N22" i="7"/>
  <c r="M22" i="7"/>
  <c r="L22" i="7"/>
  <c r="L19" i="7" s="1"/>
  <c r="M19" i="7"/>
  <c r="P19" i="7" s="1"/>
  <c r="N15" i="7"/>
  <c r="L15" i="7"/>
  <c r="O15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N815" i="6"/>
  <c r="M815" i="6"/>
  <c r="P815" i="6" s="1"/>
  <c r="L815" i="6"/>
  <c r="O815" i="6" s="1"/>
  <c r="P810" i="6"/>
  <c r="O810" i="6"/>
  <c r="N810" i="6"/>
  <c r="N807" i="6" s="1"/>
  <c r="N805" i="6" s="1"/>
  <c r="P809" i="6"/>
  <c r="O809" i="6"/>
  <c r="P808" i="6"/>
  <c r="O808" i="6"/>
  <c r="N808" i="6"/>
  <c r="M808" i="6"/>
  <c r="L808" i="6"/>
  <c r="M807" i="6"/>
  <c r="L807" i="6"/>
  <c r="O807" i="6" s="1"/>
  <c r="P806" i="6"/>
  <c r="N806" i="6"/>
  <c r="M806" i="6"/>
  <c r="L806" i="6"/>
  <c r="O806" i="6" s="1"/>
  <c r="K804" i="6"/>
  <c r="J804" i="6"/>
  <c r="K802" i="6"/>
  <c r="J801" i="6"/>
  <c r="J800" i="6"/>
  <c r="J785" i="6" s="1"/>
  <c r="I800" i="6"/>
  <c r="K800" i="6" s="1"/>
  <c r="P798" i="6"/>
  <c r="O798" i="6"/>
  <c r="P797" i="6"/>
  <c r="O797" i="6"/>
  <c r="O796" i="6"/>
  <c r="N796" i="6"/>
  <c r="M796" i="6"/>
  <c r="P796" i="6" s="1"/>
  <c r="L796" i="6"/>
  <c r="P791" i="6"/>
  <c r="N791" i="6"/>
  <c r="N789" i="6" s="1"/>
  <c r="L791" i="6"/>
  <c r="L789" i="6" s="1"/>
  <c r="O789" i="6" s="1"/>
  <c r="P790" i="6"/>
  <c r="O790" i="6"/>
  <c r="P789" i="6"/>
  <c r="M789" i="6"/>
  <c r="N788" i="6"/>
  <c r="M788" i="6"/>
  <c r="M786" i="6" s="1"/>
  <c r="P786" i="6" s="1"/>
  <c r="P787" i="6"/>
  <c r="N787" i="6"/>
  <c r="N786" i="6" s="1"/>
  <c r="M787" i="6"/>
  <c r="L787" i="6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P774" i="6"/>
  <c r="O774" i="6"/>
  <c r="O773" i="6"/>
  <c r="N773" i="6"/>
  <c r="M773" i="6"/>
  <c r="P773" i="6" s="1"/>
  <c r="L773" i="6"/>
  <c r="P772" i="6"/>
  <c r="N772" i="6"/>
  <c r="M772" i="6"/>
  <c r="L772" i="6"/>
  <c r="P771" i="6"/>
  <c r="O771" i="6"/>
  <c r="N771" i="6"/>
  <c r="M771" i="6"/>
  <c r="L771" i="6"/>
  <c r="N770" i="6"/>
  <c r="M770" i="6"/>
  <c r="P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M757" i="6"/>
  <c r="P757" i="6" s="1"/>
  <c r="L757" i="6"/>
  <c r="P756" i="6"/>
  <c r="O756" i="6"/>
  <c r="M756" i="6"/>
  <c r="L756" i="6"/>
  <c r="N755" i="6"/>
  <c r="M755" i="6"/>
  <c r="L755" i="6"/>
  <c r="O755" i="6" s="1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P741" i="6"/>
  <c r="O741" i="6"/>
  <c r="O740" i="6"/>
  <c r="N740" i="6"/>
  <c r="M740" i="6"/>
  <c r="P740" i="6" s="1"/>
  <c r="L740" i="6"/>
  <c r="P739" i="6"/>
  <c r="N739" i="6"/>
  <c r="M739" i="6"/>
  <c r="L739" i="6"/>
  <c r="P738" i="6"/>
  <c r="O738" i="6"/>
  <c r="N738" i="6"/>
  <c r="M738" i="6"/>
  <c r="L738" i="6"/>
  <c r="N737" i="6"/>
  <c r="M737" i="6"/>
  <c r="P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7" i="6" s="1"/>
  <c r="L690" i="6"/>
  <c r="M690" i="6" s="1"/>
  <c r="M687" i="6" s="1"/>
  <c r="O686" i="6"/>
  <c r="N686" i="6"/>
  <c r="N685" i="6" s="1"/>
  <c r="M686" i="6"/>
  <c r="P686" i="6" s="1"/>
  <c r="L686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N665" i="6"/>
  <c r="M665" i="6"/>
  <c r="P665" i="6" s="1"/>
  <c r="L665" i="6"/>
  <c r="O665" i="6" s="1"/>
  <c r="N660" i="6"/>
  <c r="N658" i="6" s="1"/>
  <c r="L660" i="6"/>
  <c r="L657" i="6" s="1"/>
  <c r="P659" i="6"/>
  <c r="O659" i="6"/>
  <c r="N657" i="6"/>
  <c r="N655" i="6" s="1"/>
  <c r="O656" i="6"/>
  <c r="N656" i="6"/>
  <c r="M656" i="6"/>
  <c r="P656" i="6" s="1"/>
  <c r="L656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P639" i="6"/>
  <c r="N639" i="6"/>
  <c r="M639" i="6"/>
  <c r="N636" i="6"/>
  <c r="N634" i="6" s="1"/>
  <c r="L634" i="6"/>
  <c r="P633" i="6"/>
  <c r="O633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4" i="6"/>
  <c r="I594" i="6"/>
  <c r="J593" i="6"/>
  <c r="I593" i="6"/>
  <c r="I592" i="6" s="1"/>
  <c r="J583" i="6"/>
  <c r="J577" i="6" s="1"/>
  <c r="J582" i="6"/>
  <c r="J576" i="6" s="1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P556" i="6"/>
  <c r="O556" i="6"/>
  <c r="N555" i="6"/>
  <c r="M555" i="6"/>
  <c r="P555" i="6" s="1"/>
  <c r="N549" i="6"/>
  <c r="N547" i="6" s="1"/>
  <c r="L549" i="6"/>
  <c r="P548" i="6"/>
  <c r="O548" i="6"/>
  <c r="N546" i="6"/>
  <c r="N544" i="6" s="1"/>
  <c r="O545" i="6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L533" i="6" s="1"/>
  <c r="O533" i="6" s="1"/>
  <c r="P534" i="6"/>
  <c r="O534" i="6"/>
  <c r="P533" i="6"/>
  <c r="N533" i="6"/>
  <c r="M533" i="6"/>
  <c r="P528" i="6"/>
  <c r="N528" i="6"/>
  <c r="N526" i="6" s="1"/>
  <c r="L528" i="6"/>
  <c r="L526" i="6" s="1"/>
  <c r="O526" i="6" s="1"/>
  <c r="P527" i="6"/>
  <c r="O527" i="6"/>
  <c r="M526" i="6"/>
  <c r="P526" i="6" s="1"/>
  <c r="P525" i="6"/>
  <c r="N525" i="6"/>
  <c r="M525" i="6"/>
  <c r="O524" i="6"/>
  <c r="N524" i="6"/>
  <c r="N523" i="6" s="1"/>
  <c r="M524" i="6"/>
  <c r="L524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O505" i="6"/>
  <c r="M505" i="6"/>
  <c r="P505" i="6" s="1"/>
  <c r="L505" i="6"/>
  <c r="P504" i="6"/>
  <c r="N504" i="6"/>
  <c r="M504" i="6"/>
  <c r="L504" i="6"/>
  <c r="O503" i="6"/>
  <c r="N503" i="6"/>
  <c r="N502" i="6" s="1"/>
  <c r="M503" i="6"/>
  <c r="L503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P477" i="6"/>
  <c r="N477" i="6"/>
  <c r="M477" i="6"/>
  <c r="N472" i="6"/>
  <c r="L472" i="6"/>
  <c r="P471" i="6"/>
  <c r="O471" i="6"/>
  <c r="N470" i="6"/>
  <c r="N469" i="6"/>
  <c r="N468" i="6"/>
  <c r="N467" i="6" s="1"/>
  <c r="M468" i="6"/>
  <c r="P468" i="6" s="1"/>
  <c r="L468" i="6"/>
  <c r="J466" i="6"/>
  <c r="I466" i="6"/>
  <c r="J465" i="6"/>
  <c r="I465" i="6"/>
  <c r="I464" i="6"/>
  <c r="I463" i="6"/>
  <c r="I462" i="6"/>
  <c r="I443" i="6" s="1"/>
  <c r="K443" i="6" s="1"/>
  <c r="I460" i="6"/>
  <c r="K460" i="6" s="1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N447" i="6" s="1"/>
  <c r="L449" i="6"/>
  <c r="P448" i="6"/>
  <c r="O448" i="6"/>
  <c r="M447" i="6"/>
  <c r="P447" i="6" s="1"/>
  <c r="P446" i="6"/>
  <c r="N446" i="6"/>
  <c r="M446" i="6"/>
  <c r="O445" i="6"/>
  <c r="N445" i="6"/>
  <c r="M445" i="6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J418" i="6" s="1"/>
  <c r="P431" i="6"/>
  <c r="L431" i="6"/>
  <c r="P430" i="6"/>
  <c r="O430" i="6"/>
  <c r="P429" i="6"/>
  <c r="N429" i="6"/>
  <c r="M429" i="6"/>
  <c r="N424" i="6"/>
  <c r="L424" i="6"/>
  <c r="O424" i="6" s="1"/>
  <c r="P423" i="6"/>
  <c r="O423" i="6"/>
  <c r="N422" i="6"/>
  <c r="N421" i="6"/>
  <c r="P420" i="6"/>
  <c r="N420" i="6"/>
  <c r="N419" i="6" s="1"/>
  <c r="M420" i="6"/>
  <c r="L420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P407" i="6" s="1"/>
  <c r="L407" i="6"/>
  <c r="P406" i="6"/>
  <c r="O406" i="6"/>
  <c r="P403" i="6"/>
  <c r="N403" i="6"/>
  <c r="M403" i="6"/>
  <c r="L403" i="6"/>
  <c r="J401" i="6"/>
  <c r="I401" i="6"/>
  <c r="K401" i="6" s="1"/>
  <c r="K400" i="6"/>
  <c r="K399" i="6"/>
  <c r="N397" i="6"/>
  <c r="M397" i="6"/>
  <c r="P397" i="6" s="1"/>
  <c r="L397" i="6"/>
  <c r="O397" i="6" s="1"/>
  <c r="P396" i="6"/>
  <c r="O396" i="6"/>
  <c r="N394" i="6"/>
  <c r="N392" i="6" s="1"/>
  <c r="M394" i="6"/>
  <c r="L394" i="6"/>
  <c r="O394" i="6" s="1"/>
  <c r="P393" i="6"/>
  <c r="O393" i="6"/>
  <c r="P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N348" i="6" s="1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M333" i="6"/>
  <c r="L333" i="6"/>
  <c r="L331" i="6" s="1"/>
  <c r="P332" i="6"/>
  <c r="O332" i="6"/>
  <c r="P329" i="6"/>
  <c r="N329" i="6"/>
  <c r="M329" i="6"/>
  <c r="L329" i="6"/>
  <c r="I327" i="6"/>
  <c r="I325" i="6"/>
  <c r="K325" i="6" s="1"/>
  <c r="N323" i="6"/>
  <c r="N321" i="6" s="1"/>
  <c r="M323" i="6"/>
  <c r="M321" i="6" s="1"/>
  <c r="P321" i="6" s="1"/>
  <c r="L323" i="6"/>
  <c r="O323" i="6" s="1"/>
  <c r="P322" i="6"/>
  <c r="O322" i="6"/>
  <c r="N320" i="6"/>
  <c r="N318" i="6" s="1"/>
  <c r="M320" i="6"/>
  <c r="L320" i="6"/>
  <c r="L318" i="6" s="1"/>
  <c r="O318" i="6" s="1"/>
  <c r="P319" i="6"/>
  <c r="O319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L304" i="6" s="1"/>
  <c r="O304" i="6" s="1"/>
  <c r="P305" i="6"/>
  <c r="O305" i="6"/>
  <c r="N303" i="6"/>
  <c r="N301" i="6" s="1"/>
  <c r="M303" i="6"/>
  <c r="L303" i="6"/>
  <c r="P302" i="6"/>
  <c r="O302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I276" i="6" s="1"/>
  <c r="K276" i="6" s="1"/>
  <c r="N285" i="6"/>
  <c r="M285" i="6"/>
  <c r="P285" i="6" s="1"/>
  <c r="L285" i="6"/>
  <c r="L283" i="6" s="1"/>
  <c r="O283" i="6" s="1"/>
  <c r="P284" i="6"/>
  <c r="O284" i="6"/>
  <c r="N282" i="6"/>
  <c r="N280" i="6" s="1"/>
  <c r="M282" i="6"/>
  <c r="M280" i="6" s="1"/>
  <c r="P280" i="6" s="1"/>
  <c r="L282" i="6"/>
  <c r="P281" i="6"/>
  <c r="O281" i="6"/>
  <c r="O278" i="6"/>
  <c r="N278" i="6"/>
  <c r="M278" i="6"/>
  <c r="L278" i="6"/>
  <c r="J276" i="6"/>
  <c r="I271" i="6"/>
  <c r="K271" i="6" s="1"/>
  <c r="N269" i="6"/>
  <c r="M269" i="6"/>
  <c r="P269" i="6" s="1"/>
  <c r="L269" i="6"/>
  <c r="O269" i="6" s="1"/>
  <c r="P268" i="6"/>
  <c r="O268" i="6"/>
  <c r="N266" i="6"/>
  <c r="N264" i="6" s="1"/>
  <c r="M266" i="6"/>
  <c r="L266" i="6"/>
  <c r="P265" i="6"/>
  <c r="O265" i="6"/>
  <c r="P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I208" i="6"/>
  <c r="K208" i="6" s="1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L187" i="6" s="1"/>
  <c r="O187" i="6" s="1"/>
  <c r="P188" i="6"/>
  <c r="O188" i="6"/>
  <c r="N186" i="6"/>
  <c r="M186" i="6"/>
  <c r="L186" i="6"/>
  <c r="L184" i="6" s="1"/>
  <c r="P185" i="6"/>
  <c r="O185" i="6"/>
  <c r="P182" i="6"/>
  <c r="N182" i="6"/>
  <c r="M182" i="6"/>
  <c r="L182" i="6"/>
  <c r="J177" i="6"/>
  <c r="I176" i="6"/>
  <c r="J174" i="6"/>
  <c r="J164" i="6" s="1"/>
  <c r="N173" i="6"/>
  <c r="N171" i="6" s="1"/>
  <c r="M173" i="6"/>
  <c r="P173" i="6" s="1"/>
  <c r="L173" i="6"/>
  <c r="L171" i="6" s="1"/>
  <c r="O171" i="6" s="1"/>
  <c r="P172" i="6"/>
  <c r="O172" i="6"/>
  <c r="N170" i="6"/>
  <c r="M170" i="6"/>
  <c r="L170" i="6"/>
  <c r="L168" i="6" s="1"/>
  <c r="P169" i="6"/>
  <c r="O169" i="6"/>
  <c r="P166" i="6"/>
  <c r="O166" i="6"/>
  <c r="N166" i="6"/>
  <c r="M166" i="6"/>
  <c r="L166" i="6"/>
  <c r="I159" i="6"/>
  <c r="I148" i="6" s="1"/>
  <c r="N157" i="6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P153" i="6"/>
  <c r="O153" i="6"/>
  <c r="N150" i="6"/>
  <c r="M150" i="6"/>
  <c r="L150" i="6"/>
  <c r="J148" i="6"/>
  <c r="I146" i="6"/>
  <c r="I145" i="6"/>
  <c r="K145" i="6" s="1"/>
  <c r="I144" i="6"/>
  <c r="K144" i="6" s="1"/>
  <c r="N140" i="6"/>
  <c r="M140" i="6"/>
  <c r="P140" i="6" s="1"/>
  <c r="L140" i="6"/>
  <c r="O140" i="6" s="1"/>
  <c r="P139" i="6"/>
  <c r="O139" i="6"/>
  <c r="N137" i="6"/>
  <c r="N135" i="6" s="1"/>
  <c r="M137" i="6"/>
  <c r="P137" i="6" s="1"/>
  <c r="L137" i="6"/>
  <c r="L135" i="6" s="1"/>
  <c r="O135" i="6" s="1"/>
  <c r="P136" i="6"/>
  <c r="O136" i="6"/>
  <c r="O133" i="6"/>
  <c r="N133" i="6"/>
  <c r="M133" i="6"/>
  <c r="P133" i="6" s="1"/>
  <c r="L133" i="6"/>
  <c r="J130" i="6"/>
  <c r="N127" i="6"/>
  <c r="M127" i="6"/>
  <c r="M125" i="6" s="1"/>
  <c r="P125" i="6" s="1"/>
  <c r="L127" i="6"/>
  <c r="O127" i="6" s="1"/>
  <c r="P126" i="6"/>
  <c r="O126" i="6"/>
  <c r="N124" i="6"/>
  <c r="N122" i="6" s="1"/>
  <c r="M124" i="6"/>
  <c r="P124" i="6" s="1"/>
  <c r="L124" i="6"/>
  <c r="O124" i="6" s="1"/>
  <c r="P123" i="6"/>
  <c r="O123" i="6"/>
  <c r="P120" i="6"/>
  <c r="N120" i="6"/>
  <c r="M120" i="6"/>
  <c r="L120" i="6"/>
  <c r="O120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N96" i="6"/>
  <c r="N94" i="6" s="1"/>
  <c r="M96" i="6"/>
  <c r="P96" i="6" s="1"/>
  <c r="L96" i="6"/>
  <c r="P95" i="6"/>
  <c r="O95" i="6"/>
  <c r="N93" i="6"/>
  <c r="M93" i="6"/>
  <c r="L93" i="6"/>
  <c r="L91" i="6" s="1"/>
  <c r="P92" i="6"/>
  <c r="O92" i="6"/>
  <c r="P89" i="6"/>
  <c r="N89" i="6"/>
  <c r="M89" i="6"/>
  <c r="L89" i="6"/>
  <c r="J87" i="6"/>
  <c r="I86" i="6"/>
  <c r="K86" i="6" s="1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J64" i="6" s="1"/>
  <c r="N74" i="6"/>
  <c r="N72" i="6" s="1"/>
  <c r="M74" i="6"/>
  <c r="M72" i="6" s="1"/>
  <c r="P72" i="6" s="1"/>
  <c r="L74" i="6"/>
  <c r="O74" i="6" s="1"/>
  <c r="P73" i="6"/>
  <c r="O73" i="6"/>
  <c r="N71" i="6"/>
  <c r="M71" i="6"/>
  <c r="L71" i="6"/>
  <c r="L69" i="6" s="1"/>
  <c r="P70" i="6"/>
  <c r="O70" i="6"/>
  <c r="N67" i="6"/>
  <c r="M67" i="6"/>
  <c r="P67" i="6" s="1"/>
  <c r="L67" i="6"/>
  <c r="J65" i="6"/>
  <c r="N61" i="6"/>
  <c r="N59" i="6" s="1"/>
  <c r="M61" i="6"/>
  <c r="M59" i="6" s="1"/>
  <c r="L61" i="6"/>
  <c r="P60" i="6"/>
  <c r="O60" i="6"/>
  <c r="N58" i="6"/>
  <c r="M58" i="6"/>
  <c r="L58" i="6"/>
  <c r="L56" i="6" s="1"/>
  <c r="P57" i="6"/>
  <c r="O57" i="6"/>
  <c r="O54" i="6"/>
  <c r="N54" i="6"/>
  <c r="M54" i="6"/>
  <c r="L54" i="6"/>
  <c r="N49" i="6"/>
  <c r="N47" i="6" s="1"/>
  <c r="M49" i="6"/>
  <c r="M47" i="6" s="1"/>
  <c r="P47" i="6" s="1"/>
  <c r="L49" i="6"/>
  <c r="L47" i="6" s="1"/>
  <c r="O47" i="6" s="1"/>
  <c r="P48" i="6"/>
  <c r="O48" i="6"/>
  <c r="N46" i="6"/>
  <c r="N44" i="6" s="1"/>
  <c r="M46" i="6"/>
  <c r="L46" i="6"/>
  <c r="P45" i="6"/>
  <c r="O45" i="6"/>
  <c r="P42" i="6"/>
  <c r="N42" i="6"/>
  <c r="M42" i="6"/>
  <c r="L42" i="6"/>
  <c r="N36" i="6"/>
  <c r="M36" i="6"/>
  <c r="P36" i="6" s="1"/>
  <c r="P35" i="6"/>
  <c r="O35" i="6"/>
  <c r="N35" i="6"/>
  <c r="M35" i="6"/>
  <c r="M34" i="6" s="1"/>
  <c r="P34" i="6" s="1"/>
  <c r="L35" i="6"/>
  <c r="N34" i="6"/>
  <c r="N33" i="6"/>
  <c r="P32" i="6"/>
  <c r="O32" i="6"/>
  <c r="N32" i="6"/>
  <c r="N31" i="6" s="1"/>
  <c r="M32" i="6"/>
  <c r="L32" i="6"/>
  <c r="L29" i="6" s="1"/>
  <c r="N30" i="6"/>
  <c r="N29" i="6"/>
  <c r="N28" i="6" s="1"/>
  <c r="N25" i="6"/>
  <c r="M25" i="6"/>
  <c r="L25" i="6"/>
  <c r="O25" i="6" s="1"/>
  <c r="N22" i="6"/>
  <c r="M22" i="6"/>
  <c r="P22" i="6" s="1"/>
  <c r="L22" i="6"/>
  <c r="N19" i="6"/>
  <c r="N15" i="6"/>
  <c r="P12" i="6"/>
  <c r="N12" i="6"/>
  <c r="N9" i="6" s="1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O808" i="5"/>
  <c r="N808" i="5"/>
  <c r="M808" i="5"/>
  <c r="P808" i="5" s="1"/>
  <c r="L808" i="5"/>
  <c r="P807" i="5"/>
  <c r="N807" i="5"/>
  <c r="M807" i="5"/>
  <c r="L807" i="5"/>
  <c r="P806" i="5"/>
  <c r="O806" i="5"/>
  <c r="N806" i="5"/>
  <c r="M806" i="5"/>
  <c r="L806" i="5"/>
  <c r="P805" i="5"/>
  <c r="N805" i="5"/>
  <c r="M805" i="5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P796" i="5"/>
  <c r="N796" i="5"/>
  <c r="M796" i="5"/>
  <c r="L796" i="5"/>
  <c r="O796" i="5" s="1"/>
  <c r="P791" i="5"/>
  <c r="N791" i="5"/>
  <c r="N789" i="5" s="1"/>
  <c r="L791" i="5"/>
  <c r="O791" i="5" s="1"/>
  <c r="P790" i="5"/>
  <c r="O790" i="5"/>
  <c r="P789" i="5"/>
  <c r="M789" i="5"/>
  <c r="P788" i="5"/>
  <c r="N788" i="5"/>
  <c r="N786" i="5" s="1"/>
  <c r="M788" i="5"/>
  <c r="O787" i="5"/>
  <c r="N787" i="5"/>
  <c r="M787" i="5"/>
  <c r="P787" i="5" s="1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N773" i="5"/>
  <c r="M773" i="5"/>
  <c r="L773" i="5"/>
  <c r="O773" i="5" s="1"/>
  <c r="O772" i="5"/>
  <c r="N772" i="5"/>
  <c r="M772" i="5"/>
  <c r="P772" i="5" s="1"/>
  <c r="L772" i="5"/>
  <c r="P771" i="5"/>
  <c r="O771" i="5"/>
  <c r="N771" i="5"/>
  <c r="N770" i="5" s="1"/>
  <c r="M771" i="5"/>
  <c r="L771" i="5"/>
  <c r="O770" i="5"/>
  <c r="M770" i="5"/>
  <c r="P770" i="5" s="1"/>
  <c r="L770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P757" i="5"/>
  <c r="N757" i="5"/>
  <c r="M757" i="5"/>
  <c r="L757" i="5"/>
  <c r="O757" i="5" s="1"/>
  <c r="O756" i="5"/>
  <c r="N756" i="5"/>
  <c r="M756" i="5"/>
  <c r="M754" i="5" s="1"/>
  <c r="P754" i="5" s="1"/>
  <c r="L756" i="5"/>
  <c r="P755" i="5"/>
  <c r="N755" i="5"/>
  <c r="N754" i="5" s="1"/>
  <c r="M755" i="5"/>
  <c r="L755" i="5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N740" i="5"/>
  <c r="M740" i="5"/>
  <c r="L740" i="5"/>
  <c r="O740" i="5" s="1"/>
  <c r="O739" i="5"/>
  <c r="N739" i="5"/>
  <c r="M739" i="5"/>
  <c r="P739" i="5" s="1"/>
  <c r="L739" i="5"/>
  <c r="P738" i="5"/>
  <c r="O738" i="5"/>
  <c r="N738" i="5"/>
  <c r="N737" i="5" s="1"/>
  <c r="M738" i="5"/>
  <c r="L738" i="5"/>
  <c r="O737" i="5"/>
  <c r="M737" i="5"/>
  <c r="P737" i="5" s="1"/>
  <c r="L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N688" i="5" s="1"/>
  <c r="L690" i="5"/>
  <c r="M688" i="5"/>
  <c r="P688" i="5" s="1"/>
  <c r="P687" i="5"/>
  <c r="N687" i="5"/>
  <c r="N685" i="5" s="1"/>
  <c r="M687" i="5"/>
  <c r="O686" i="5"/>
  <c r="N686" i="5"/>
  <c r="M686" i="5"/>
  <c r="L686" i="5"/>
  <c r="J679" i="5"/>
  <c r="J678" i="5"/>
  <c r="I678" i="5"/>
  <c r="K678" i="5" s="1"/>
  <c r="J675" i="5"/>
  <c r="I671" i="5"/>
  <c r="K671" i="5" s="1"/>
  <c r="I670" i="5"/>
  <c r="K670" i="5" s="1"/>
  <c r="J669" i="5"/>
  <c r="J654" i="5" s="1"/>
  <c r="I669" i="5"/>
  <c r="K675" i="5" s="1"/>
  <c r="P667" i="5"/>
  <c r="O667" i="5"/>
  <c r="P666" i="5"/>
  <c r="O666" i="5"/>
  <c r="O665" i="5"/>
  <c r="N665" i="5"/>
  <c r="M665" i="5"/>
  <c r="P665" i="5" s="1"/>
  <c r="L665" i="5"/>
  <c r="P660" i="5"/>
  <c r="N660" i="5"/>
  <c r="N657" i="5" s="1"/>
  <c r="L660" i="5"/>
  <c r="O660" i="5" s="1"/>
  <c r="P659" i="5"/>
  <c r="O659" i="5"/>
  <c r="P658" i="5"/>
  <c r="N658" i="5"/>
  <c r="M658" i="5"/>
  <c r="M657" i="5"/>
  <c r="P657" i="5" s="1"/>
  <c r="P656" i="5"/>
  <c r="O656" i="5"/>
  <c r="N656" i="5"/>
  <c r="M656" i="5"/>
  <c r="L656" i="5"/>
  <c r="M655" i="5"/>
  <c r="P655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N638" i="5"/>
  <c r="N634" i="5" s="1"/>
  <c r="N631" i="5" s="1"/>
  <c r="L634" i="5"/>
  <c r="O634" i="5" s="1"/>
  <c r="P633" i="5"/>
  <c r="O633" i="5"/>
  <c r="N632" i="5"/>
  <c r="P630" i="5"/>
  <c r="O630" i="5"/>
  <c r="N630" i="5"/>
  <c r="N629" i="5" s="1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2" i="5" s="1"/>
  <c r="J596" i="5"/>
  <c r="J595" i="5"/>
  <c r="J594" i="5"/>
  <c r="I594" i="5"/>
  <c r="I593" i="5"/>
  <c r="J583" i="5"/>
  <c r="J577" i="5" s="1"/>
  <c r="J582" i="5"/>
  <c r="I577" i="5"/>
  <c r="K577" i="5" s="1"/>
  <c r="J576" i="5"/>
  <c r="J559" i="5" s="1"/>
  <c r="J543" i="5" s="1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P555" i="5"/>
  <c r="N555" i="5"/>
  <c r="N545" i="5" s="1"/>
  <c r="M555" i="5"/>
  <c r="M545" i="5" s="1"/>
  <c r="N553" i="5"/>
  <c r="N549" i="5"/>
  <c r="L549" i="5"/>
  <c r="M549" i="5" s="1"/>
  <c r="M546" i="5" s="1"/>
  <c r="P548" i="5"/>
  <c r="O548" i="5"/>
  <c r="N546" i="5"/>
  <c r="N544" i="5" s="1"/>
  <c r="O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P533" i="5"/>
  <c r="N533" i="5"/>
  <c r="M533" i="5"/>
  <c r="N532" i="5"/>
  <c r="N528" i="5"/>
  <c r="L528" i="5"/>
  <c r="L525" i="5" s="1"/>
  <c r="L523" i="5" s="1"/>
  <c r="P527" i="5"/>
  <c r="O527" i="5"/>
  <c r="O524" i="5"/>
  <c r="N524" i="5"/>
  <c r="M524" i="5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O505" i="5"/>
  <c r="M505" i="5"/>
  <c r="P505" i="5" s="1"/>
  <c r="L505" i="5"/>
  <c r="P504" i="5"/>
  <c r="M504" i="5"/>
  <c r="L504" i="5"/>
  <c r="O504" i="5" s="1"/>
  <c r="O503" i="5"/>
  <c r="N503" i="5"/>
  <c r="M503" i="5"/>
  <c r="L503" i="5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N474" i="5"/>
  <c r="N473" i="5"/>
  <c r="N472" i="5"/>
  <c r="L472" i="5"/>
  <c r="M472" i="5" s="1"/>
  <c r="M469" i="5" s="1"/>
  <c r="P471" i="5"/>
  <c r="O471" i="5"/>
  <c r="N469" i="5"/>
  <c r="P468" i="5"/>
  <c r="O468" i="5"/>
  <c r="N468" i="5"/>
  <c r="M468" i="5"/>
  <c r="L468" i="5"/>
  <c r="N467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P455" i="5"/>
  <c r="O455" i="5"/>
  <c r="N454" i="5"/>
  <c r="M454" i="5"/>
  <c r="P454" i="5" s="1"/>
  <c r="N453" i="5"/>
  <c r="N449" i="5" s="1"/>
  <c r="L449" i="5"/>
  <c r="L447" i="5" s="1"/>
  <c r="P448" i="5"/>
  <c r="O448" i="5"/>
  <c r="N446" i="5"/>
  <c r="P445" i="5"/>
  <c r="N445" i="5"/>
  <c r="N444" i="5" s="1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I417" i="5" s="1"/>
  <c r="J434" i="5"/>
  <c r="J418" i="5" s="1"/>
  <c r="P431" i="5"/>
  <c r="L431" i="5"/>
  <c r="P430" i="5"/>
  <c r="O430" i="5"/>
  <c r="N429" i="5"/>
  <c r="M429" i="5"/>
  <c r="P429" i="5" s="1"/>
  <c r="N428" i="5"/>
  <c r="N424" i="5" s="1"/>
  <c r="N421" i="5" s="1"/>
  <c r="L424" i="5"/>
  <c r="M424" i="5" s="1"/>
  <c r="M422" i="5" s="1"/>
  <c r="P423" i="5"/>
  <c r="O423" i="5"/>
  <c r="N422" i="5"/>
  <c r="P420" i="5"/>
  <c r="N420" i="5"/>
  <c r="M420" i="5"/>
  <c r="L420" i="5"/>
  <c r="K413" i="5"/>
  <c r="K412" i="5"/>
  <c r="N410" i="5"/>
  <c r="N408" i="5" s="1"/>
  <c r="M410" i="5"/>
  <c r="M408" i="5" s="1"/>
  <c r="P408" i="5" s="1"/>
  <c r="L410" i="5"/>
  <c r="L408" i="5" s="1"/>
  <c r="O408" i="5" s="1"/>
  <c r="P409" i="5"/>
  <c r="O409" i="5"/>
  <c r="N407" i="5"/>
  <c r="M407" i="5"/>
  <c r="L407" i="5"/>
  <c r="L405" i="5" s="1"/>
  <c r="O405" i="5" s="1"/>
  <c r="P406" i="5"/>
  <c r="O406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L397" i="5"/>
  <c r="P396" i="5"/>
  <c r="O396" i="5"/>
  <c r="N394" i="5"/>
  <c r="M394" i="5"/>
  <c r="M392" i="5" s="1"/>
  <c r="P392" i="5" s="1"/>
  <c r="L394" i="5"/>
  <c r="L392" i="5" s="1"/>
  <c r="O392" i="5" s="1"/>
  <c r="P393" i="5"/>
  <c r="O393" i="5"/>
  <c r="P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P352" i="5"/>
  <c r="O352" i="5"/>
  <c r="N350" i="5"/>
  <c r="N348" i="5" s="1"/>
  <c r="M350" i="5"/>
  <c r="M348" i="5" s="1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L336" i="5"/>
  <c r="L334" i="5" s="1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O329" i="5" s="1"/>
  <c r="I327" i="5"/>
  <c r="I325" i="5"/>
  <c r="N323" i="5"/>
  <c r="N321" i="5" s="1"/>
  <c r="M323" i="5"/>
  <c r="P323" i="5" s="1"/>
  <c r="L323" i="5"/>
  <c r="O323" i="5" s="1"/>
  <c r="P322" i="5"/>
  <c r="O322" i="5"/>
  <c r="N320" i="5"/>
  <c r="M320" i="5"/>
  <c r="L320" i="5"/>
  <c r="L318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N306" i="5"/>
  <c r="N304" i="5" s="1"/>
  <c r="M306" i="5"/>
  <c r="M304" i="5" s="1"/>
  <c r="P304" i="5" s="1"/>
  <c r="L306" i="5"/>
  <c r="L304" i="5" s="1"/>
  <c r="O304" i="5" s="1"/>
  <c r="P305" i="5"/>
  <c r="O305" i="5"/>
  <c r="N303" i="5"/>
  <c r="M303" i="5"/>
  <c r="M301" i="5" s="1"/>
  <c r="L303" i="5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M285" i="5"/>
  <c r="P285" i="5" s="1"/>
  <c r="L285" i="5"/>
  <c r="L283" i="5" s="1"/>
  <c r="O283" i="5" s="1"/>
  <c r="P284" i="5"/>
  <c r="O284" i="5"/>
  <c r="N282" i="5"/>
  <c r="N280" i="5" s="1"/>
  <c r="M282" i="5"/>
  <c r="L282" i="5"/>
  <c r="L280" i="5" s="1"/>
  <c r="P281" i="5"/>
  <c r="O281" i="5"/>
  <c r="O278" i="5"/>
  <c r="N278" i="5"/>
  <c r="M278" i="5"/>
  <c r="P278" i="5" s="1"/>
  <c r="L278" i="5"/>
  <c r="J276" i="5"/>
  <c r="I271" i="5"/>
  <c r="I260" i="5" s="1"/>
  <c r="K260" i="5" s="1"/>
  <c r="N269" i="5"/>
  <c r="N267" i="5" s="1"/>
  <c r="M269" i="5"/>
  <c r="P269" i="5" s="1"/>
  <c r="L269" i="5"/>
  <c r="P268" i="5"/>
  <c r="O268" i="5"/>
  <c r="N266" i="5"/>
  <c r="N264" i="5" s="1"/>
  <c r="M266" i="5"/>
  <c r="M264" i="5" s="1"/>
  <c r="L266" i="5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26" i="5" s="1"/>
  <c r="J236" i="5"/>
  <c r="I236" i="5"/>
  <c r="J235" i="5"/>
  <c r="I235" i="5"/>
  <c r="K235" i="5" s="1"/>
  <c r="J233" i="5"/>
  <c r="N231" i="5"/>
  <c r="N230" i="5"/>
  <c r="N229" i="5"/>
  <c r="N228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N191" i="5"/>
  <c r="L191" i="5"/>
  <c r="J190" i="5"/>
  <c r="N189" i="5"/>
  <c r="N187" i="5" s="1"/>
  <c r="M189" i="5"/>
  <c r="L189" i="5"/>
  <c r="L187" i="5" s="1"/>
  <c r="O187" i="5" s="1"/>
  <c r="P188" i="5"/>
  <c r="O188" i="5"/>
  <c r="N186" i="5"/>
  <c r="N184" i="5" s="1"/>
  <c r="M186" i="5"/>
  <c r="M184" i="5" s="1"/>
  <c r="L186" i="5"/>
  <c r="P185" i="5"/>
  <c r="O185" i="5"/>
  <c r="P182" i="5"/>
  <c r="N182" i="5"/>
  <c r="M182" i="5"/>
  <c r="L182" i="5"/>
  <c r="J180" i="5"/>
  <c r="J177" i="5"/>
  <c r="I176" i="5"/>
  <c r="J174" i="5"/>
  <c r="N173" i="5"/>
  <c r="N171" i="5" s="1"/>
  <c r="M173" i="5"/>
  <c r="L173" i="5"/>
  <c r="L171" i="5" s="1"/>
  <c r="O171" i="5" s="1"/>
  <c r="P172" i="5"/>
  <c r="O172" i="5"/>
  <c r="N170" i="5"/>
  <c r="N168" i="5" s="1"/>
  <c r="M170" i="5"/>
  <c r="L170" i="5"/>
  <c r="P169" i="5"/>
  <c r="O169" i="5"/>
  <c r="P166" i="5"/>
  <c r="N166" i="5"/>
  <c r="M166" i="5"/>
  <c r="L166" i="5"/>
  <c r="J164" i="5"/>
  <c r="I159" i="5"/>
  <c r="K159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L154" i="5"/>
  <c r="L152" i="5" s="1"/>
  <c r="O152" i="5" s="1"/>
  <c r="P153" i="5"/>
  <c r="O153" i="5"/>
  <c r="P150" i="5"/>
  <c r="N150" i="5"/>
  <c r="M150" i="5"/>
  <c r="L150" i="5"/>
  <c r="J148" i="5"/>
  <c r="I146" i="5"/>
  <c r="I130" i="5" s="1"/>
  <c r="K130" i="5" s="1"/>
  <c r="I145" i="5"/>
  <c r="I144" i="5"/>
  <c r="K144" i="5" s="1"/>
  <c r="N140" i="5"/>
  <c r="N138" i="5" s="1"/>
  <c r="M140" i="5"/>
  <c r="P140" i="5" s="1"/>
  <c r="L140" i="5"/>
  <c r="P139" i="5"/>
  <c r="O139" i="5"/>
  <c r="N137" i="5"/>
  <c r="M137" i="5"/>
  <c r="P137" i="5" s="1"/>
  <c r="L137" i="5"/>
  <c r="O137" i="5" s="1"/>
  <c r="P136" i="5"/>
  <c r="O136" i="5"/>
  <c r="O133" i="5"/>
  <c r="N133" i="5"/>
  <c r="M133" i="5"/>
  <c r="P133" i="5" s="1"/>
  <c r="L133" i="5"/>
  <c r="J130" i="5"/>
  <c r="N127" i="5"/>
  <c r="N125" i="5" s="1"/>
  <c r="M127" i="5"/>
  <c r="P127" i="5" s="1"/>
  <c r="L127" i="5"/>
  <c r="P126" i="5"/>
  <c r="O126" i="5"/>
  <c r="N124" i="5"/>
  <c r="N122" i="5" s="1"/>
  <c r="M124" i="5"/>
  <c r="L124" i="5"/>
  <c r="P123" i="5"/>
  <c r="O123" i="5"/>
  <c r="P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I86" i="5" s="1"/>
  <c r="K86" i="5" s="1"/>
  <c r="N96" i="5"/>
  <c r="N94" i="5" s="1"/>
  <c r="M96" i="5"/>
  <c r="L96" i="5"/>
  <c r="O96" i="5" s="1"/>
  <c r="P95" i="5"/>
  <c r="O95" i="5"/>
  <c r="N93" i="5"/>
  <c r="M93" i="5"/>
  <c r="L93" i="5"/>
  <c r="P92" i="5"/>
  <c r="O92" i="5"/>
  <c r="P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76" i="5"/>
  <c r="N74" i="5"/>
  <c r="M74" i="5"/>
  <c r="P74" i="5" s="1"/>
  <c r="L74" i="5"/>
  <c r="P73" i="5"/>
  <c r="O73" i="5"/>
  <c r="N71" i="5"/>
  <c r="N69" i="5" s="1"/>
  <c r="M71" i="5"/>
  <c r="P71" i="5" s="1"/>
  <c r="L71" i="5"/>
  <c r="P70" i="5"/>
  <c r="O70" i="5"/>
  <c r="N67" i="5"/>
  <c r="M67" i="5"/>
  <c r="L67" i="5"/>
  <c r="O67" i="5" s="1"/>
  <c r="J65" i="5"/>
  <c r="J64" i="5"/>
  <c r="N61" i="5"/>
  <c r="N59" i="5" s="1"/>
  <c r="M61" i="5"/>
  <c r="L61" i="5"/>
  <c r="P60" i="5"/>
  <c r="O60" i="5"/>
  <c r="N58" i="5"/>
  <c r="N56" i="5" s="1"/>
  <c r="M58" i="5"/>
  <c r="L58" i="5"/>
  <c r="P57" i="5"/>
  <c r="O57" i="5"/>
  <c r="P54" i="5"/>
  <c r="N54" i="5"/>
  <c r="M54" i="5"/>
  <c r="L54" i="5"/>
  <c r="O54" i="5" s="1"/>
  <c r="N49" i="5"/>
  <c r="N47" i="5" s="1"/>
  <c r="M49" i="5"/>
  <c r="M47" i="5" s="1"/>
  <c r="P47" i="5" s="1"/>
  <c r="L49" i="5"/>
  <c r="P48" i="5"/>
  <c r="O48" i="5"/>
  <c r="N46" i="5"/>
  <c r="M46" i="5"/>
  <c r="M44" i="5" s="1"/>
  <c r="L46" i="5"/>
  <c r="P45" i="5"/>
  <c r="O45" i="5"/>
  <c r="O42" i="5"/>
  <c r="N42" i="5"/>
  <c r="M42" i="5"/>
  <c r="L42" i="5"/>
  <c r="P36" i="5"/>
  <c r="N36" i="5"/>
  <c r="N34" i="5" s="1"/>
  <c r="M36" i="5"/>
  <c r="N35" i="5"/>
  <c r="M35" i="5"/>
  <c r="M15" i="5" s="1"/>
  <c r="L35" i="5"/>
  <c r="L15" i="5" s="1"/>
  <c r="N33" i="5"/>
  <c r="N31" i="5" s="1"/>
  <c r="P32" i="5"/>
  <c r="N32" i="5"/>
  <c r="M32" i="5"/>
  <c r="L32" i="5"/>
  <c r="N30" i="5"/>
  <c r="N28" i="5" s="1"/>
  <c r="N29" i="5"/>
  <c r="P25" i="5"/>
  <c r="N25" i="5"/>
  <c r="M25" i="5"/>
  <c r="L25" i="5"/>
  <c r="O25" i="5" s="1"/>
  <c r="O22" i="5"/>
  <c r="N22" i="5"/>
  <c r="M22" i="5"/>
  <c r="L22" i="5"/>
  <c r="N19" i="5"/>
  <c r="L19" i="5"/>
  <c r="O15" i="5"/>
  <c r="N12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N815" i="4"/>
  <c r="M815" i="4"/>
  <c r="P815" i="4" s="1"/>
  <c r="L815" i="4"/>
  <c r="O815" i="4" s="1"/>
  <c r="P810" i="4"/>
  <c r="O810" i="4"/>
  <c r="N810" i="4"/>
  <c r="N807" i="4" s="1"/>
  <c r="N805" i="4" s="1"/>
  <c r="P809" i="4"/>
  <c r="O809" i="4"/>
  <c r="P808" i="4"/>
  <c r="O808" i="4"/>
  <c r="N808" i="4"/>
  <c r="M808" i="4"/>
  <c r="L808" i="4"/>
  <c r="M807" i="4"/>
  <c r="L807" i="4"/>
  <c r="O807" i="4" s="1"/>
  <c r="P806" i="4"/>
  <c r="O806" i="4"/>
  <c r="N806" i="4"/>
  <c r="M806" i="4"/>
  <c r="L806" i="4"/>
  <c r="O805" i="4"/>
  <c r="L805" i="4"/>
  <c r="K804" i="4"/>
  <c r="J804" i="4"/>
  <c r="K802" i="4"/>
  <c r="J801" i="4"/>
  <c r="J800" i="4"/>
  <c r="J785" i="4" s="1"/>
  <c r="I800" i="4"/>
  <c r="K800" i="4" s="1"/>
  <c r="P798" i="4"/>
  <c r="O798" i="4"/>
  <c r="P797" i="4"/>
  <c r="O797" i="4"/>
  <c r="O796" i="4"/>
  <c r="N796" i="4"/>
  <c r="M796" i="4"/>
  <c r="P796" i="4" s="1"/>
  <c r="L796" i="4"/>
  <c r="P791" i="4"/>
  <c r="N791" i="4"/>
  <c r="N789" i="4" s="1"/>
  <c r="L791" i="4"/>
  <c r="L789" i="4" s="1"/>
  <c r="O789" i="4" s="1"/>
  <c r="P790" i="4"/>
  <c r="O790" i="4"/>
  <c r="P789" i="4"/>
  <c r="M789" i="4"/>
  <c r="N788" i="4"/>
  <c r="M788" i="4"/>
  <c r="M786" i="4" s="1"/>
  <c r="P786" i="4" s="1"/>
  <c r="P787" i="4"/>
  <c r="N787" i="4"/>
  <c r="M787" i="4"/>
  <c r="L787" i="4"/>
  <c r="N786" i="4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M772" i="4"/>
  <c r="L772" i="4"/>
  <c r="P771" i="4"/>
  <c r="O771" i="4"/>
  <c r="N771" i="4"/>
  <c r="M771" i="4"/>
  <c r="L771" i="4"/>
  <c r="N770" i="4"/>
  <c r="M770" i="4"/>
  <c r="P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P757" i="4"/>
  <c r="M757" i="4"/>
  <c r="L757" i="4"/>
  <c r="O757" i="4" s="1"/>
  <c r="P756" i="4"/>
  <c r="O756" i="4"/>
  <c r="M756" i="4"/>
  <c r="L756" i="4"/>
  <c r="N755" i="4"/>
  <c r="M755" i="4"/>
  <c r="L755" i="4"/>
  <c r="O755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M739" i="4"/>
  <c r="L739" i="4"/>
  <c r="O739" i="4" s="1"/>
  <c r="P738" i="4"/>
  <c r="O738" i="4"/>
  <c r="N738" i="4"/>
  <c r="M738" i="4"/>
  <c r="L738" i="4"/>
  <c r="N737" i="4"/>
  <c r="M737" i="4"/>
  <c r="P737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0" i="4"/>
  <c r="L690" i="4"/>
  <c r="L687" i="4" s="1"/>
  <c r="O686" i="4"/>
  <c r="N686" i="4"/>
  <c r="M686" i="4"/>
  <c r="L686" i="4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2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N658" i="4" s="1"/>
  <c r="L660" i="4"/>
  <c r="L657" i="4" s="1"/>
  <c r="O657" i="4" s="1"/>
  <c r="P659" i="4"/>
  <c r="O659" i="4"/>
  <c r="N657" i="4"/>
  <c r="N656" i="4"/>
  <c r="M656" i="4"/>
  <c r="P656" i="4" s="1"/>
  <c r="L656" i="4"/>
  <c r="N655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P632" i="4"/>
  <c r="N632" i="4"/>
  <c r="M632" i="4"/>
  <c r="N631" i="4"/>
  <c r="M631" i="4"/>
  <c r="P631" i="4" s="1"/>
  <c r="P630" i="4"/>
  <c r="O630" i="4"/>
  <c r="N630" i="4"/>
  <c r="M630" i="4"/>
  <c r="L630" i="4"/>
  <c r="N629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J593" i="4"/>
  <c r="I593" i="4"/>
  <c r="I592" i="4" s="1"/>
  <c r="J592" i="4"/>
  <c r="J583" i="4"/>
  <c r="J577" i="4" s="1"/>
  <c r="J582" i="4"/>
  <c r="I577" i="4"/>
  <c r="K577" i="4" s="1"/>
  <c r="J576" i="4"/>
  <c r="J559" i="4" s="1"/>
  <c r="J543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P556" i="4"/>
  <c r="O556" i="4"/>
  <c r="N555" i="4"/>
  <c r="N545" i="4" s="1"/>
  <c r="M555" i="4"/>
  <c r="P555" i="4" s="1"/>
  <c r="N549" i="4"/>
  <c r="N546" i="4" s="1"/>
  <c r="L549" i="4"/>
  <c r="M549" i="4" s="1"/>
  <c r="P549" i="4" s="1"/>
  <c r="P548" i="4"/>
  <c r="O548" i="4"/>
  <c r="P545" i="4"/>
  <c r="O545" i="4"/>
  <c r="M545" i="4"/>
  <c r="L545" i="4"/>
  <c r="N544" i="4"/>
  <c r="I542" i="4"/>
  <c r="K542" i="4" s="1"/>
  <c r="I541" i="4"/>
  <c r="K541" i="4" s="1"/>
  <c r="I540" i="4"/>
  <c r="K540" i="4" s="1"/>
  <c r="I539" i="4"/>
  <c r="I538" i="4"/>
  <c r="K538" i="4" s="1"/>
  <c r="I537" i="4"/>
  <c r="P535" i="4"/>
  <c r="L535" i="4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M526" i="4"/>
  <c r="P526" i="4" s="1"/>
  <c r="P525" i="4"/>
  <c r="M525" i="4"/>
  <c r="N524" i="4"/>
  <c r="M524" i="4"/>
  <c r="P524" i="4" s="1"/>
  <c r="L524" i="4"/>
  <c r="M523" i="4"/>
  <c r="P523" i="4" s="1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5" i="4" s="1"/>
  <c r="P506" i="4"/>
  <c r="O506" i="4"/>
  <c r="M505" i="4"/>
  <c r="P505" i="4" s="1"/>
  <c r="L505" i="4"/>
  <c r="O505" i="4" s="1"/>
  <c r="P504" i="4"/>
  <c r="O504" i="4"/>
  <c r="N504" i="4"/>
  <c r="M504" i="4"/>
  <c r="L504" i="4"/>
  <c r="P503" i="4"/>
  <c r="N503" i="4"/>
  <c r="M503" i="4"/>
  <c r="L503" i="4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2" i="4"/>
  <c r="L472" i="4"/>
  <c r="P471" i="4"/>
  <c r="O471" i="4"/>
  <c r="N470" i="4"/>
  <c r="N469" i="4"/>
  <c r="N468" i="4"/>
  <c r="N467" i="4" s="1"/>
  <c r="M468" i="4"/>
  <c r="P468" i="4" s="1"/>
  <c r="L468" i="4"/>
  <c r="J466" i="4"/>
  <c r="I466" i="4"/>
  <c r="K466" i="4" s="1"/>
  <c r="J465" i="4"/>
  <c r="I465" i="4"/>
  <c r="K465" i="4" s="1"/>
  <c r="I464" i="4"/>
  <c r="I463" i="4"/>
  <c r="I462" i="4"/>
  <c r="I443" i="4" s="1"/>
  <c r="I460" i="4"/>
  <c r="I442" i="4" s="1"/>
  <c r="K442" i="4" s="1"/>
  <c r="K458" i="4"/>
  <c r="P456" i="4"/>
  <c r="L456" i="4"/>
  <c r="O456" i="4" s="1"/>
  <c r="P455" i="4"/>
  <c r="O455" i="4"/>
  <c r="P454" i="4"/>
  <c r="N454" i="4"/>
  <c r="M454" i="4"/>
  <c r="N449" i="4"/>
  <c r="L449" i="4"/>
  <c r="L447" i="4" s="1"/>
  <c r="P448" i="4"/>
  <c r="O448" i="4"/>
  <c r="P445" i="4"/>
  <c r="O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J434" i="4"/>
  <c r="P431" i="4"/>
  <c r="L431" i="4"/>
  <c r="L429" i="4" s="1"/>
  <c r="O429" i="4" s="1"/>
  <c r="P430" i="4"/>
  <c r="O430" i="4"/>
  <c r="N429" i="4"/>
  <c r="M429" i="4"/>
  <c r="P429" i="4" s="1"/>
  <c r="N428" i="4"/>
  <c r="N424" i="4"/>
  <c r="L424" i="4"/>
  <c r="P423" i="4"/>
  <c r="O423" i="4"/>
  <c r="N422" i="4"/>
  <c r="N421" i="4"/>
  <c r="N420" i="4"/>
  <c r="N419" i="4" s="1"/>
  <c r="M420" i="4"/>
  <c r="L420" i="4"/>
  <c r="J418" i="4"/>
  <c r="K413" i="4"/>
  <c r="K412" i="4"/>
  <c r="N410" i="4"/>
  <c r="N408" i="4" s="1"/>
  <c r="M410" i="4"/>
  <c r="L410" i="4"/>
  <c r="L408" i="4" s="1"/>
  <c r="O408" i="4" s="1"/>
  <c r="P409" i="4"/>
  <c r="O409" i="4"/>
  <c r="N407" i="4"/>
  <c r="M407" i="4"/>
  <c r="M405" i="4" s="1"/>
  <c r="P405" i="4" s="1"/>
  <c r="L407" i="4"/>
  <c r="L405" i="4" s="1"/>
  <c r="O405" i="4" s="1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L397" i="4"/>
  <c r="L395" i="4" s="1"/>
  <c r="O395" i="4" s="1"/>
  <c r="P396" i="4"/>
  <c r="O396" i="4"/>
  <c r="N394" i="4"/>
  <c r="M394" i="4"/>
  <c r="L394" i="4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L336" i="4"/>
  <c r="L334" i="4" s="1"/>
  <c r="P335" i="4"/>
  <c r="O335" i="4"/>
  <c r="N333" i="4"/>
  <c r="N331" i="4" s="1"/>
  <c r="M333" i="4"/>
  <c r="L333" i="4"/>
  <c r="L331" i="4" s="1"/>
  <c r="P332" i="4"/>
  <c r="O332" i="4"/>
  <c r="N329" i="4"/>
  <c r="M329" i="4"/>
  <c r="P329" i="4" s="1"/>
  <c r="L329" i="4"/>
  <c r="I327" i="4"/>
  <c r="I325" i="4"/>
  <c r="N323" i="4"/>
  <c r="N321" i="4" s="1"/>
  <c r="M323" i="4"/>
  <c r="L323" i="4"/>
  <c r="O323" i="4" s="1"/>
  <c r="P322" i="4"/>
  <c r="O322" i="4"/>
  <c r="N320" i="4"/>
  <c r="N318" i="4" s="1"/>
  <c r="M320" i="4"/>
  <c r="P320" i="4" s="1"/>
  <c r="L320" i="4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M304" i="4" s="1"/>
  <c r="P304" i="4" s="1"/>
  <c r="L306" i="4"/>
  <c r="P305" i="4"/>
  <c r="O305" i="4"/>
  <c r="N303" i="4"/>
  <c r="N301" i="4" s="1"/>
  <c r="M303" i="4"/>
  <c r="M301" i="4" s="1"/>
  <c r="L303" i="4"/>
  <c r="L301" i="4" s="1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N285" i="4"/>
  <c r="N283" i="4" s="1"/>
  <c r="M285" i="4"/>
  <c r="P285" i="4" s="1"/>
  <c r="L285" i="4"/>
  <c r="L283" i="4" s="1"/>
  <c r="O283" i="4" s="1"/>
  <c r="P284" i="4"/>
  <c r="O284" i="4"/>
  <c r="N282" i="4"/>
  <c r="N280" i="4" s="1"/>
  <c r="M282" i="4"/>
  <c r="L282" i="4"/>
  <c r="L280" i="4" s="1"/>
  <c r="P281" i="4"/>
  <c r="O281" i="4"/>
  <c r="P278" i="4"/>
  <c r="O278" i="4"/>
  <c r="N278" i="4"/>
  <c r="M278" i="4"/>
  <c r="L278" i="4"/>
  <c r="J276" i="4"/>
  <c r="I271" i="4"/>
  <c r="I260" i="4" s="1"/>
  <c r="K260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L266" i="4"/>
  <c r="P265" i="4"/>
  <c r="O265" i="4"/>
  <c r="O262" i="4"/>
  <c r="N262" i="4"/>
  <c r="M262" i="4"/>
  <c r="P262" i="4" s="1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36" i="4"/>
  <c r="I236" i="4"/>
  <c r="K236" i="4" s="1"/>
  <c r="J235" i="4"/>
  <c r="K235" i="4" s="1"/>
  <c r="I235" i="4"/>
  <c r="J233" i="4"/>
  <c r="N231" i="4"/>
  <c r="N230" i="4"/>
  <c r="N229" i="4"/>
  <c r="N228" i="4"/>
  <c r="J226" i="4"/>
  <c r="I225" i="4"/>
  <c r="I224" i="4"/>
  <c r="I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I190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M186" i="4"/>
  <c r="L186" i="4"/>
  <c r="P185" i="4"/>
  <c r="O185" i="4"/>
  <c r="O182" i="4"/>
  <c r="N182" i="4"/>
  <c r="M182" i="4"/>
  <c r="L182" i="4"/>
  <c r="J180" i="4"/>
  <c r="J177" i="4"/>
  <c r="I176" i="4"/>
  <c r="K176" i="4" s="1"/>
  <c r="J174" i="4"/>
  <c r="J164" i="4" s="1"/>
  <c r="N173" i="4"/>
  <c r="N171" i="4" s="1"/>
  <c r="M173" i="4"/>
  <c r="M171" i="4" s="1"/>
  <c r="P171" i="4" s="1"/>
  <c r="L173" i="4"/>
  <c r="O173" i="4" s="1"/>
  <c r="P172" i="4"/>
  <c r="O172" i="4"/>
  <c r="N170" i="4"/>
  <c r="M170" i="4"/>
  <c r="L170" i="4"/>
  <c r="L168" i="4" s="1"/>
  <c r="P169" i="4"/>
  <c r="O169" i="4"/>
  <c r="O166" i="4"/>
  <c r="N166" i="4"/>
  <c r="M166" i="4"/>
  <c r="L166" i="4"/>
  <c r="I159" i="4"/>
  <c r="N157" i="4"/>
  <c r="N155" i="4" s="1"/>
  <c r="M157" i="4"/>
  <c r="L157" i="4"/>
  <c r="O157" i="4" s="1"/>
  <c r="P156" i="4"/>
  <c r="O156" i="4"/>
  <c r="N154" i="4"/>
  <c r="N152" i="4" s="1"/>
  <c r="M154" i="4"/>
  <c r="M152" i="4" s="1"/>
  <c r="L154" i="4"/>
  <c r="P153" i="4"/>
  <c r="O153" i="4"/>
  <c r="N150" i="4"/>
  <c r="M150" i="4"/>
  <c r="L150" i="4"/>
  <c r="O150" i="4" s="1"/>
  <c r="J148" i="4"/>
  <c r="I146" i="4"/>
  <c r="I130" i="4" s="1"/>
  <c r="K130" i="4" s="1"/>
  <c r="I145" i="4"/>
  <c r="K145" i="4" s="1"/>
  <c r="I144" i="4"/>
  <c r="N140" i="4"/>
  <c r="N138" i="4" s="1"/>
  <c r="M140" i="4"/>
  <c r="L140" i="4"/>
  <c r="L138" i="4" s="1"/>
  <c r="P139" i="4"/>
  <c r="O139" i="4"/>
  <c r="N137" i="4"/>
  <c r="N135" i="4" s="1"/>
  <c r="M137" i="4"/>
  <c r="L137" i="4"/>
  <c r="P136" i="4"/>
  <c r="O136" i="4"/>
  <c r="P133" i="4"/>
  <c r="N133" i="4"/>
  <c r="M133" i="4"/>
  <c r="L133" i="4"/>
  <c r="J130" i="4"/>
  <c r="N127" i="4"/>
  <c r="N125" i="4" s="1"/>
  <c r="M127" i="4"/>
  <c r="M125" i="4" s="1"/>
  <c r="P125" i="4" s="1"/>
  <c r="L127" i="4"/>
  <c r="O127" i="4" s="1"/>
  <c r="P126" i="4"/>
  <c r="O126" i="4"/>
  <c r="N124" i="4"/>
  <c r="N122" i="4" s="1"/>
  <c r="M124" i="4"/>
  <c r="M122" i="4" s="1"/>
  <c r="P122" i="4" s="1"/>
  <c r="L124" i="4"/>
  <c r="O124" i="4" s="1"/>
  <c r="P123" i="4"/>
  <c r="O123" i="4"/>
  <c r="N120" i="4"/>
  <c r="M120" i="4"/>
  <c r="L120" i="4"/>
  <c r="O120" i="4" s="1"/>
  <c r="J118" i="4"/>
  <c r="K118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K98" i="4" s="1"/>
  <c r="N96" i="4"/>
  <c r="M96" i="4"/>
  <c r="P96" i="4" s="1"/>
  <c r="L96" i="4"/>
  <c r="L94" i="4" s="1"/>
  <c r="O94" i="4" s="1"/>
  <c r="P95" i="4"/>
  <c r="O95" i="4"/>
  <c r="N93" i="4"/>
  <c r="N91" i="4" s="1"/>
  <c r="M93" i="4"/>
  <c r="L93" i="4"/>
  <c r="L91" i="4" s="1"/>
  <c r="P92" i="4"/>
  <c r="O92" i="4"/>
  <c r="P89" i="4"/>
  <c r="N89" i="4"/>
  <c r="M89" i="4"/>
  <c r="L89" i="4"/>
  <c r="O89" i="4" s="1"/>
  <c r="J87" i="4"/>
  <c r="I86" i="4"/>
  <c r="K86" i="4" s="1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65" i="4" s="1"/>
  <c r="J76" i="4"/>
  <c r="J64" i="4" s="1"/>
  <c r="N74" i="4"/>
  <c r="N72" i="4" s="1"/>
  <c r="M74" i="4"/>
  <c r="M72" i="4" s="1"/>
  <c r="P72" i="4" s="1"/>
  <c r="L74" i="4"/>
  <c r="P73" i="4"/>
  <c r="O73" i="4"/>
  <c r="N71" i="4"/>
  <c r="M71" i="4"/>
  <c r="P71" i="4" s="1"/>
  <c r="L71" i="4"/>
  <c r="L69" i="4" s="1"/>
  <c r="O69" i="4" s="1"/>
  <c r="P70" i="4"/>
  <c r="O70" i="4"/>
  <c r="P67" i="4"/>
  <c r="N67" i="4"/>
  <c r="M67" i="4"/>
  <c r="L67" i="4"/>
  <c r="O67" i="4" s="1"/>
  <c r="N61" i="4"/>
  <c r="N59" i="4" s="1"/>
  <c r="M61" i="4"/>
  <c r="M59" i="4" s="1"/>
  <c r="L61" i="4"/>
  <c r="P60" i="4"/>
  <c r="O60" i="4"/>
  <c r="N58" i="4"/>
  <c r="M58" i="4"/>
  <c r="M56" i="4" s="1"/>
  <c r="L58" i="4"/>
  <c r="P57" i="4"/>
  <c r="O57" i="4"/>
  <c r="O54" i="4"/>
  <c r="N54" i="4"/>
  <c r="M54" i="4"/>
  <c r="L54" i="4"/>
  <c r="N49" i="4"/>
  <c r="M49" i="4"/>
  <c r="M47" i="4" s="1"/>
  <c r="P47" i="4" s="1"/>
  <c r="L49" i="4"/>
  <c r="L47" i="4" s="1"/>
  <c r="O47" i="4" s="1"/>
  <c r="P48" i="4"/>
  <c r="O48" i="4"/>
  <c r="N46" i="4"/>
  <c r="N44" i="4" s="1"/>
  <c r="M46" i="4"/>
  <c r="L46" i="4"/>
  <c r="P45" i="4"/>
  <c r="O45" i="4"/>
  <c r="N42" i="4"/>
  <c r="M42" i="4"/>
  <c r="P42" i="4" s="1"/>
  <c r="L42" i="4"/>
  <c r="N36" i="4"/>
  <c r="M36" i="4"/>
  <c r="P36" i="4" s="1"/>
  <c r="P35" i="4"/>
  <c r="O35" i="4"/>
  <c r="N35" i="4"/>
  <c r="M35" i="4"/>
  <c r="L35" i="4"/>
  <c r="N34" i="4"/>
  <c r="M34" i="4"/>
  <c r="P34" i="4" s="1"/>
  <c r="N33" i="4"/>
  <c r="N30" i="4" s="1"/>
  <c r="P32" i="4"/>
  <c r="N32" i="4"/>
  <c r="M32" i="4"/>
  <c r="L32" i="4"/>
  <c r="L29" i="4" s="1"/>
  <c r="N31" i="4"/>
  <c r="P29" i="4"/>
  <c r="O29" i="4"/>
  <c r="N29" i="4"/>
  <c r="M29" i="4"/>
  <c r="N25" i="4"/>
  <c r="M25" i="4"/>
  <c r="L25" i="4"/>
  <c r="L15" i="4" s="1"/>
  <c r="P22" i="4"/>
  <c r="N22" i="4"/>
  <c r="N19" i="4" s="1"/>
  <c r="M22" i="4"/>
  <c r="M19" i="4" s="1"/>
  <c r="L22" i="4"/>
  <c r="L19" i="4" s="1"/>
  <c r="O15" i="4"/>
  <c r="N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N815" i="3"/>
  <c r="M815" i="3"/>
  <c r="P815" i="3" s="1"/>
  <c r="L815" i="3"/>
  <c r="O815" i="3" s="1"/>
  <c r="P810" i="3"/>
  <c r="O810" i="3"/>
  <c r="N810" i="3"/>
  <c r="N808" i="3" s="1"/>
  <c r="P809" i="3"/>
  <c r="O809" i="3"/>
  <c r="P808" i="3"/>
  <c r="O808" i="3"/>
  <c r="M808" i="3"/>
  <c r="L808" i="3"/>
  <c r="M807" i="3"/>
  <c r="P807" i="3" s="1"/>
  <c r="L807" i="3"/>
  <c r="L805" i="3" s="1"/>
  <c r="O806" i="3"/>
  <c r="N806" i="3"/>
  <c r="M806" i="3"/>
  <c r="P806" i="3" s="1"/>
  <c r="L806" i="3"/>
  <c r="O805" i="3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9" i="3" s="1"/>
  <c r="L791" i="3"/>
  <c r="P790" i="3"/>
  <c r="O790" i="3"/>
  <c r="M789" i="3"/>
  <c r="P789" i="3" s="1"/>
  <c r="N788" i="3"/>
  <c r="N786" i="3" s="1"/>
  <c r="M788" i="3"/>
  <c r="M786" i="3" s="1"/>
  <c r="P786" i="3" s="1"/>
  <c r="P787" i="3"/>
  <c r="N787" i="3"/>
  <c r="M787" i="3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M772" i="3"/>
  <c r="L772" i="3"/>
  <c r="O772" i="3" s="1"/>
  <c r="P771" i="3"/>
  <c r="N771" i="3"/>
  <c r="M771" i="3"/>
  <c r="L771" i="3"/>
  <c r="O771" i="3" s="1"/>
  <c r="N770" i="3"/>
  <c r="M770" i="3"/>
  <c r="P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M757" i="3"/>
  <c r="L757" i="3"/>
  <c r="P756" i="3"/>
  <c r="O756" i="3"/>
  <c r="M756" i="3"/>
  <c r="L756" i="3"/>
  <c r="N755" i="3"/>
  <c r="M755" i="3"/>
  <c r="L755" i="3"/>
  <c r="O755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M739" i="3"/>
  <c r="L739" i="3"/>
  <c r="O739" i="3" s="1"/>
  <c r="P738" i="3"/>
  <c r="N738" i="3"/>
  <c r="M738" i="3"/>
  <c r="L738" i="3"/>
  <c r="O738" i="3" s="1"/>
  <c r="N737" i="3"/>
  <c r="M737" i="3"/>
  <c r="P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O695" i="3"/>
  <c r="N695" i="3"/>
  <c r="M695" i="3"/>
  <c r="L695" i="3"/>
  <c r="N690" i="3"/>
  <c r="L690" i="3"/>
  <c r="L688" i="3" s="1"/>
  <c r="O686" i="3"/>
  <c r="N686" i="3"/>
  <c r="M686" i="3"/>
  <c r="P686" i="3" s="1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N660" i="3"/>
  <c r="L660" i="3"/>
  <c r="P659" i="3"/>
  <c r="O659" i="3"/>
  <c r="N658" i="3"/>
  <c r="N657" i="3"/>
  <c r="P656" i="3"/>
  <c r="O656" i="3"/>
  <c r="N656" i="3"/>
  <c r="N655" i="3" s="1"/>
  <c r="M656" i="3"/>
  <c r="L656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N631" i="3" s="1"/>
  <c r="N629" i="3" s="1"/>
  <c r="L634" i="3"/>
  <c r="O634" i="3" s="1"/>
  <c r="P633" i="3"/>
  <c r="O633" i="3"/>
  <c r="N632" i="3"/>
  <c r="M632" i="3"/>
  <c r="P632" i="3" s="1"/>
  <c r="P631" i="3"/>
  <c r="M631" i="3"/>
  <c r="P630" i="3"/>
  <c r="N630" i="3"/>
  <c r="M630" i="3"/>
  <c r="L630" i="3"/>
  <c r="M629" i="3"/>
  <c r="P629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I594" i="3"/>
  <c r="I593" i="3"/>
  <c r="I592" i="3" s="1"/>
  <c r="J583" i="3"/>
  <c r="J582" i="3"/>
  <c r="J576" i="3" s="1"/>
  <c r="J559" i="3" s="1"/>
  <c r="J543" i="3" s="1"/>
  <c r="J577" i="3"/>
  <c r="I577" i="3"/>
  <c r="K577" i="3" s="1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P555" i="3"/>
  <c r="N555" i="3"/>
  <c r="N545" i="3" s="1"/>
  <c r="N544" i="3" s="1"/>
  <c r="M555" i="3"/>
  <c r="N553" i="3"/>
  <c r="N549" i="3" s="1"/>
  <c r="N546" i="3" s="1"/>
  <c r="L549" i="3"/>
  <c r="P548" i="3"/>
  <c r="O548" i="3"/>
  <c r="N547" i="3"/>
  <c r="P545" i="3"/>
  <c r="O545" i="3"/>
  <c r="M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O535" i="3" s="1"/>
  <c r="P534" i="3"/>
  <c r="O534" i="3"/>
  <c r="P533" i="3"/>
  <c r="N533" i="3"/>
  <c r="M533" i="3"/>
  <c r="P528" i="3"/>
  <c r="N528" i="3"/>
  <c r="L528" i="3"/>
  <c r="O528" i="3" s="1"/>
  <c r="P527" i="3"/>
  <c r="O527" i="3"/>
  <c r="M526" i="3"/>
  <c r="P526" i="3" s="1"/>
  <c r="P525" i="3"/>
  <c r="M525" i="3"/>
  <c r="N524" i="3"/>
  <c r="M524" i="3"/>
  <c r="P524" i="3" s="1"/>
  <c r="L524" i="3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4" i="3" s="1"/>
  <c r="P506" i="3"/>
  <c r="O506" i="3"/>
  <c r="P505" i="3"/>
  <c r="O505" i="3"/>
  <c r="M505" i="3"/>
  <c r="L505" i="3"/>
  <c r="P504" i="3"/>
  <c r="M504" i="3"/>
  <c r="L504" i="3"/>
  <c r="O504" i="3" s="1"/>
  <c r="N503" i="3"/>
  <c r="N502" i="3" s="1"/>
  <c r="M503" i="3"/>
  <c r="P503" i="3" s="1"/>
  <c r="L503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6" i="3"/>
  <c r="N472" i="3"/>
  <c r="L472" i="3"/>
  <c r="P471" i="3"/>
  <c r="O471" i="3"/>
  <c r="N470" i="3"/>
  <c r="N469" i="3"/>
  <c r="N468" i="3"/>
  <c r="N467" i="3" s="1"/>
  <c r="M468" i="3"/>
  <c r="P468" i="3" s="1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58" i="3"/>
  <c r="P456" i="3"/>
  <c r="L456" i="3"/>
  <c r="L454" i="3" s="1"/>
  <c r="O454" i="3" s="1"/>
  <c r="P455" i="3"/>
  <c r="O455" i="3"/>
  <c r="N454" i="3"/>
  <c r="M454" i="3"/>
  <c r="P454" i="3" s="1"/>
  <c r="P449" i="3"/>
  <c r="N449" i="3"/>
  <c r="N446" i="3" s="1"/>
  <c r="L449" i="3"/>
  <c r="P448" i="3"/>
  <c r="O448" i="3"/>
  <c r="P447" i="3"/>
  <c r="M447" i="3"/>
  <c r="M446" i="3"/>
  <c r="P446" i="3" s="1"/>
  <c r="O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P431" i="3"/>
  <c r="L431" i="3"/>
  <c r="P430" i="3"/>
  <c r="O430" i="3"/>
  <c r="N429" i="3"/>
  <c r="M429" i="3"/>
  <c r="P429" i="3" s="1"/>
  <c r="N424" i="3"/>
  <c r="N422" i="3" s="1"/>
  <c r="L424" i="3"/>
  <c r="P423" i="3"/>
  <c r="O423" i="3"/>
  <c r="N421" i="3"/>
  <c r="O420" i="3"/>
  <c r="N420" i="3"/>
  <c r="M420" i="3"/>
  <c r="P420" i="3" s="1"/>
  <c r="L420" i="3"/>
  <c r="N419" i="3"/>
  <c r="J418" i="3"/>
  <c r="K413" i="3"/>
  <c r="K412" i="3"/>
  <c r="N410" i="3"/>
  <c r="N408" i="3" s="1"/>
  <c r="M410" i="3"/>
  <c r="L410" i="3"/>
  <c r="P409" i="3"/>
  <c r="O409" i="3"/>
  <c r="N407" i="3"/>
  <c r="M407" i="3"/>
  <c r="M405" i="3" s="1"/>
  <c r="P405" i="3" s="1"/>
  <c r="L407" i="3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M397" i="3"/>
  <c r="P397" i="3" s="1"/>
  <c r="L397" i="3"/>
  <c r="P396" i="3"/>
  <c r="O396" i="3"/>
  <c r="N394" i="3"/>
  <c r="N392" i="3" s="1"/>
  <c r="M394" i="3"/>
  <c r="L394" i="3"/>
  <c r="O394" i="3" s="1"/>
  <c r="P393" i="3"/>
  <c r="O393" i="3"/>
  <c r="O390" i="3"/>
  <c r="N390" i="3"/>
  <c r="M390" i="3"/>
  <c r="P390" i="3" s="1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M333" i="3"/>
  <c r="L333" i="3"/>
  <c r="P332" i="3"/>
  <c r="O332" i="3"/>
  <c r="O329" i="3"/>
  <c r="N329" i="3"/>
  <c r="M329" i="3"/>
  <c r="P329" i="3" s="1"/>
  <c r="L329" i="3"/>
  <c r="I327" i="3"/>
  <c r="I325" i="3"/>
  <c r="N323" i="3"/>
  <c r="N321" i="3" s="1"/>
  <c r="M323" i="3"/>
  <c r="M321" i="3" s="1"/>
  <c r="P321" i="3" s="1"/>
  <c r="L323" i="3"/>
  <c r="P322" i="3"/>
  <c r="O322" i="3"/>
  <c r="N320" i="3"/>
  <c r="M320" i="3"/>
  <c r="P320" i="3" s="1"/>
  <c r="L320" i="3"/>
  <c r="P319" i="3"/>
  <c r="O319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L306" i="3"/>
  <c r="O306" i="3" s="1"/>
  <c r="P305" i="3"/>
  <c r="O305" i="3"/>
  <c r="N303" i="3"/>
  <c r="N301" i="3" s="1"/>
  <c r="M303" i="3"/>
  <c r="L303" i="3"/>
  <c r="L301" i="3" s="1"/>
  <c r="O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N285" i="3"/>
  <c r="N283" i="3" s="1"/>
  <c r="M285" i="3"/>
  <c r="M283" i="3" s="1"/>
  <c r="P283" i="3" s="1"/>
  <c r="L285" i="3"/>
  <c r="L283" i="3" s="1"/>
  <c r="O283" i="3" s="1"/>
  <c r="P284" i="3"/>
  <c r="O284" i="3"/>
  <c r="N282" i="3"/>
  <c r="M282" i="3"/>
  <c r="L282" i="3"/>
  <c r="O282" i="3" s="1"/>
  <c r="P281" i="3"/>
  <c r="O281" i="3"/>
  <c r="O278" i="3"/>
  <c r="N278" i="3"/>
  <c r="M278" i="3"/>
  <c r="L278" i="3"/>
  <c r="J276" i="3"/>
  <c r="I271" i="3"/>
  <c r="N269" i="3"/>
  <c r="M269" i="3"/>
  <c r="M267" i="3" s="1"/>
  <c r="P267" i="3" s="1"/>
  <c r="L269" i="3"/>
  <c r="L267" i="3" s="1"/>
  <c r="O267" i="3" s="1"/>
  <c r="P268" i="3"/>
  <c r="O268" i="3"/>
  <c r="N266" i="3"/>
  <c r="M266" i="3"/>
  <c r="L266" i="3"/>
  <c r="P265" i="3"/>
  <c r="O265" i="3"/>
  <c r="P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N240" i="3"/>
  <c r="N229" i="3" s="1"/>
  <c r="L240" i="3"/>
  <c r="N239" i="3"/>
  <c r="L239" i="3"/>
  <c r="P238" i="3"/>
  <c r="J237" i="3"/>
  <c r="J226" i="3" s="1"/>
  <c r="K236" i="3"/>
  <c r="J236" i="3"/>
  <c r="I236" i="3"/>
  <c r="K235" i="3"/>
  <c r="J235" i="3"/>
  <c r="I235" i="3"/>
  <c r="J233" i="3"/>
  <c r="N231" i="3"/>
  <c r="N230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P182" i="3"/>
  <c r="N182" i="3"/>
  <c r="M182" i="3"/>
  <c r="L182" i="3"/>
  <c r="J180" i="3"/>
  <c r="J177" i="3"/>
  <c r="J164" i="3" s="1"/>
  <c r="I176" i="3"/>
  <c r="I17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M170" i="3"/>
  <c r="L170" i="3"/>
  <c r="L168" i="3" s="1"/>
  <c r="P169" i="3"/>
  <c r="O169" i="3"/>
  <c r="N166" i="3"/>
  <c r="M166" i="3"/>
  <c r="P166" i="3" s="1"/>
  <c r="L166" i="3"/>
  <c r="I159" i="3"/>
  <c r="K159" i="3" s="1"/>
  <c r="N157" i="3"/>
  <c r="N155" i="3" s="1"/>
  <c r="M157" i="3"/>
  <c r="L157" i="3"/>
  <c r="O157" i="3" s="1"/>
  <c r="P156" i="3"/>
  <c r="O156" i="3"/>
  <c r="N154" i="3"/>
  <c r="N152" i="3" s="1"/>
  <c r="M154" i="3"/>
  <c r="M152" i="3" s="1"/>
  <c r="L154" i="3"/>
  <c r="L152" i="3" s="1"/>
  <c r="O152" i="3" s="1"/>
  <c r="P153" i="3"/>
  <c r="O153" i="3"/>
  <c r="P150" i="3"/>
  <c r="O150" i="3"/>
  <c r="N150" i="3"/>
  <c r="M150" i="3"/>
  <c r="L150" i="3"/>
  <c r="J148" i="3"/>
  <c r="I146" i="3"/>
  <c r="I145" i="3"/>
  <c r="I144" i="3"/>
  <c r="K144" i="3" s="1"/>
  <c r="N140" i="3"/>
  <c r="N138" i="3" s="1"/>
  <c r="M140" i="3"/>
  <c r="M138" i="3" s="1"/>
  <c r="P138" i="3" s="1"/>
  <c r="L140" i="3"/>
  <c r="O140" i="3" s="1"/>
  <c r="P139" i="3"/>
  <c r="O139" i="3"/>
  <c r="N137" i="3"/>
  <c r="N135" i="3" s="1"/>
  <c r="M137" i="3"/>
  <c r="P137" i="3" s="1"/>
  <c r="L137" i="3"/>
  <c r="P136" i="3"/>
  <c r="O136" i="3"/>
  <c r="N133" i="3"/>
  <c r="M133" i="3"/>
  <c r="L133" i="3"/>
  <c r="O133" i="3" s="1"/>
  <c r="J130" i="3"/>
  <c r="N127" i="3"/>
  <c r="N125" i="3" s="1"/>
  <c r="M127" i="3"/>
  <c r="L127" i="3"/>
  <c r="P126" i="3"/>
  <c r="O126" i="3"/>
  <c r="N124" i="3"/>
  <c r="M124" i="3"/>
  <c r="L124" i="3"/>
  <c r="O124" i="3" s="1"/>
  <c r="P123" i="3"/>
  <c r="O123" i="3"/>
  <c r="P120" i="3"/>
  <c r="O120" i="3"/>
  <c r="N120" i="3"/>
  <c r="M120" i="3"/>
  <c r="L120" i="3"/>
  <c r="K118" i="3"/>
  <c r="J118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J86" i="3" s="1"/>
  <c r="I98" i="3"/>
  <c r="I86" i="3" s="1"/>
  <c r="N96" i="3"/>
  <c r="N94" i="3" s="1"/>
  <c r="M96" i="3"/>
  <c r="M94" i="3" s="1"/>
  <c r="P94" i="3" s="1"/>
  <c r="L96" i="3"/>
  <c r="O96" i="3" s="1"/>
  <c r="P95" i="3"/>
  <c r="O95" i="3"/>
  <c r="N93" i="3"/>
  <c r="M93" i="3"/>
  <c r="M91" i="3" s="1"/>
  <c r="L93" i="3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J64" i="3" s="1"/>
  <c r="N74" i="3"/>
  <c r="N72" i="3" s="1"/>
  <c r="M74" i="3"/>
  <c r="M72" i="3" s="1"/>
  <c r="P72" i="3" s="1"/>
  <c r="L74" i="3"/>
  <c r="P73" i="3"/>
  <c r="O73" i="3"/>
  <c r="N71" i="3"/>
  <c r="M71" i="3"/>
  <c r="L71" i="3"/>
  <c r="L69" i="3" s="1"/>
  <c r="O69" i="3" s="1"/>
  <c r="P70" i="3"/>
  <c r="O70" i="3"/>
  <c r="O67" i="3"/>
  <c r="N67" i="3"/>
  <c r="M67" i="3"/>
  <c r="P67" i="3" s="1"/>
  <c r="L67" i="3"/>
  <c r="J65" i="3"/>
  <c r="N61" i="3"/>
  <c r="M61" i="3"/>
  <c r="L61" i="3"/>
  <c r="O61" i="3" s="1"/>
  <c r="P60" i="3"/>
  <c r="O60" i="3"/>
  <c r="N58" i="3"/>
  <c r="N56" i="3" s="1"/>
  <c r="M58" i="3"/>
  <c r="L58" i="3"/>
  <c r="P57" i="3"/>
  <c r="O57" i="3"/>
  <c r="P54" i="3"/>
  <c r="N54" i="3"/>
  <c r="M54" i="3"/>
  <c r="L54" i="3"/>
  <c r="N49" i="3"/>
  <c r="N47" i="3" s="1"/>
  <c r="M49" i="3"/>
  <c r="M47" i="3" s="1"/>
  <c r="P47" i="3" s="1"/>
  <c r="L49" i="3"/>
  <c r="P48" i="3"/>
  <c r="O48" i="3"/>
  <c r="N46" i="3"/>
  <c r="N44" i="3" s="1"/>
  <c r="M46" i="3"/>
  <c r="L46" i="3"/>
  <c r="P45" i="3"/>
  <c r="O45" i="3"/>
  <c r="N42" i="3"/>
  <c r="M42" i="3"/>
  <c r="L42" i="3"/>
  <c r="P36" i="3"/>
  <c r="N36" i="3"/>
  <c r="M36" i="3"/>
  <c r="O35" i="3"/>
  <c r="N35" i="3"/>
  <c r="M35" i="3"/>
  <c r="M34" i="3" s="1"/>
  <c r="P34" i="3" s="1"/>
  <c r="L35" i="3"/>
  <c r="N34" i="3"/>
  <c r="P32" i="3"/>
  <c r="N32" i="3"/>
  <c r="N29" i="3" s="1"/>
  <c r="M32" i="3"/>
  <c r="M12" i="3" s="1"/>
  <c r="L32" i="3"/>
  <c r="O32" i="3" s="1"/>
  <c r="L29" i="3"/>
  <c r="P25" i="3"/>
  <c r="N25" i="3"/>
  <c r="N15" i="3" s="1"/>
  <c r="M25" i="3"/>
  <c r="L25" i="3"/>
  <c r="L15" i="3" s="1"/>
  <c r="O22" i="3"/>
  <c r="N22" i="3"/>
  <c r="M22" i="3"/>
  <c r="P22" i="3" s="1"/>
  <c r="L22" i="3"/>
  <c r="O19" i="3"/>
  <c r="L19" i="3"/>
  <c r="O12" i="3"/>
  <c r="L12" i="3"/>
  <c r="L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N815" i="2"/>
  <c r="M815" i="2"/>
  <c r="P815" i="2" s="1"/>
  <c r="L815" i="2"/>
  <c r="O815" i="2" s="1"/>
  <c r="P810" i="2"/>
  <c r="O810" i="2"/>
  <c r="N810" i="2"/>
  <c r="N808" i="2" s="1"/>
  <c r="P809" i="2"/>
  <c r="O809" i="2"/>
  <c r="P808" i="2"/>
  <c r="O808" i="2"/>
  <c r="M808" i="2"/>
  <c r="L808" i="2"/>
  <c r="M807" i="2"/>
  <c r="P807" i="2" s="1"/>
  <c r="L807" i="2"/>
  <c r="O807" i="2" s="1"/>
  <c r="N806" i="2"/>
  <c r="M806" i="2"/>
  <c r="P806" i="2" s="1"/>
  <c r="L806" i="2"/>
  <c r="O806" i="2" s="1"/>
  <c r="K804" i="2"/>
  <c r="J804" i="2"/>
  <c r="K802" i="2"/>
  <c r="J801" i="2"/>
  <c r="J800" i="2"/>
  <c r="J785" i="2" s="1"/>
  <c r="I800" i="2"/>
  <c r="K800" i="2" s="1"/>
  <c r="P798" i="2"/>
  <c r="O798" i="2"/>
  <c r="P797" i="2"/>
  <c r="O797" i="2"/>
  <c r="O796" i="2"/>
  <c r="N796" i="2"/>
  <c r="M796" i="2"/>
  <c r="P796" i="2" s="1"/>
  <c r="L796" i="2"/>
  <c r="P791" i="2"/>
  <c r="N791" i="2"/>
  <c r="N789" i="2" s="1"/>
  <c r="L791" i="2"/>
  <c r="L788" i="2" s="1"/>
  <c r="O788" i="2" s="1"/>
  <c r="P790" i="2"/>
  <c r="O790" i="2"/>
  <c r="M789" i="2"/>
  <c r="P789" i="2" s="1"/>
  <c r="N788" i="2"/>
  <c r="M788" i="2"/>
  <c r="M786" i="2" s="1"/>
  <c r="P786" i="2" s="1"/>
  <c r="P787" i="2"/>
  <c r="N787" i="2"/>
  <c r="N786" i="2" s="1"/>
  <c r="M787" i="2"/>
  <c r="L787" i="2"/>
  <c r="P782" i="2"/>
  <c r="O782" i="2"/>
  <c r="P781" i="2"/>
  <c r="O781" i="2"/>
  <c r="N780" i="2"/>
  <c r="M780" i="2"/>
  <c r="P780" i="2" s="1"/>
  <c r="L780" i="2"/>
  <c r="O780" i="2" s="1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M772" i="2"/>
  <c r="L772" i="2"/>
  <c r="O772" i="2" s="1"/>
  <c r="P771" i="2"/>
  <c r="N771" i="2"/>
  <c r="M771" i="2"/>
  <c r="L771" i="2"/>
  <c r="O771" i="2" s="1"/>
  <c r="N770" i="2"/>
  <c r="M770" i="2"/>
  <c r="P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P758" i="2"/>
  <c r="O758" i="2"/>
  <c r="O757" i="2"/>
  <c r="M757" i="2"/>
  <c r="P757" i="2" s="1"/>
  <c r="L757" i="2"/>
  <c r="P756" i="2"/>
  <c r="O756" i="2"/>
  <c r="M756" i="2"/>
  <c r="L756" i="2"/>
  <c r="N755" i="2"/>
  <c r="M755" i="2"/>
  <c r="L755" i="2"/>
  <c r="O755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P741" i="2"/>
  <c r="O741" i="2"/>
  <c r="O740" i="2"/>
  <c r="N740" i="2"/>
  <c r="M740" i="2"/>
  <c r="P740" i="2" s="1"/>
  <c r="L740" i="2"/>
  <c r="P739" i="2"/>
  <c r="N739" i="2"/>
  <c r="M739" i="2"/>
  <c r="L739" i="2"/>
  <c r="O739" i="2" s="1"/>
  <c r="P738" i="2"/>
  <c r="N738" i="2"/>
  <c r="M738" i="2"/>
  <c r="L738" i="2"/>
  <c r="O738" i="2" s="1"/>
  <c r="N737" i="2"/>
  <c r="M737" i="2"/>
  <c r="P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N690" i="2"/>
  <c r="N687" i="2" s="1"/>
  <c r="L690" i="2"/>
  <c r="O690" i="2" s="1"/>
  <c r="O686" i="2"/>
  <c r="N686" i="2"/>
  <c r="M686" i="2"/>
  <c r="P686" i="2" s="1"/>
  <c r="L686" i="2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P667" i="2"/>
  <c r="O667" i="2"/>
  <c r="P666" i="2"/>
  <c r="O666" i="2"/>
  <c r="P665" i="2"/>
  <c r="N665" i="2"/>
  <c r="M665" i="2"/>
  <c r="L665" i="2"/>
  <c r="O665" i="2" s="1"/>
  <c r="N660" i="2"/>
  <c r="L660" i="2"/>
  <c r="O660" i="2" s="1"/>
  <c r="P659" i="2"/>
  <c r="O659" i="2"/>
  <c r="N658" i="2"/>
  <c r="N657" i="2"/>
  <c r="O656" i="2"/>
  <c r="N656" i="2"/>
  <c r="N655" i="2" s="1"/>
  <c r="M656" i="2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N634" i="2"/>
  <c r="N631" i="2" s="1"/>
  <c r="L634" i="2"/>
  <c r="P633" i="2"/>
  <c r="O633" i="2"/>
  <c r="N632" i="2"/>
  <c r="P630" i="2"/>
  <c r="N630" i="2"/>
  <c r="M630" i="2"/>
  <c r="L630" i="2"/>
  <c r="N629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I594" i="2"/>
  <c r="I593" i="2"/>
  <c r="I592" i="2" s="1"/>
  <c r="J583" i="2"/>
  <c r="J577" i="2" s="1"/>
  <c r="J582" i="2"/>
  <c r="J576" i="2" s="1"/>
  <c r="I577" i="2"/>
  <c r="I576" i="2"/>
  <c r="I559" i="2" s="1"/>
  <c r="I543" i="2" s="1"/>
  <c r="J569" i="2"/>
  <c r="I569" i="2"/>
  <c r="J568" i="2"/>
  <c r="I568" i="2"/>
  <c r="K568" i="2" s="1"/>
  <c r="J561" i="2"/>
  <c r="I561" i="2"/>
  <c r="K561" i="2" s="1"/>
  <c r="J560" i="2"/>
  <c r="I560" i="2"/>
  <c r="P557" i="2"/>
  <c r="L557" i="2"/>
  <c r="P556" i="2"/>
  <c r="O556" i="2"/>
  <c r="N555" i="2"/>
  <c r="N545" i="2" s="1"/>
  <c r="M555" i="2"/>
  <c r="P555" i="2" s="1"/>
  <c r="N549" i="2"/>
  <c r="N546" i="2" s="1"/>
  <c r="L549" i="2"/>
  <c r="O549" i="2" s="1"/>
  <c r="P548" i="2"/>
  <c r="O548" i="2"/>
  <c r="N547" i="2"/>
  <c r="M545" i="2"/>
  <c r="L545" i="2"/>
  <c r="N544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L533" i="2" s="1"/>
  <c r="O533" i="2" s="1"/>
  <c r="P534" i="2"/>
  <c r="O534" i="2"/>
  <c r="P533" i="2"/>
  <c r="N533" i="2"/>
  <c r="M533" i="2"/>
  <c r="N528" i="2"/>
  <c r="N33" i="2" s="1"/>
  <c r="L528" i="2"/>
  <c r="P527" i="2"/>
  <c r="O527" i="2"/>
  <c r="O524" i="2"/>
  <c r="N524" i="2"/>
  <c r="M524" i="2"/>
  <c r="L524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P505" i="2"/>
  <c r="M505" i="2"/>
  <c r="L505" i="2"/>
  <c r="O505" i="2" s="1"/>
  <c r="M504" i="2"/>
  <c r="P504" i="2" s="1"/>
  <c r="L504" i="2"/>
  <c r="O504" i="2" s="1"/>
  <c r="O503" i="2"/>
  <c r="N503" i="2"/>
  <c r="M503" i="2"/>
  <c r="L503" i="2"/>
  <c r="O502" i="2"/>
  <c r="L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P477" i="2"/>
  <c r="N477" i="2"/>
  <c r="M477" i="2"/>
  <c r="N472" i="2"/>
  <c r="L472" i="2"/>
  <c r="P471" i="2"/>
  <c r="O471" i="2"/>
  <c r="N470" i="2"/>
  <c r="N469" i="2"/>
  <c r="P468" i="2"/>
  <c r="N468" i="2"/>
  <c r="M468" i="2"/>
  <c r="L468" i="2"/>
  <c r="N467" i="2"/>
  <c r="J466" i="2"/>
  <c r="I466" i="2"/>
  <c r="J465" i="2"/>
  <c r="I465" i="2"/>
  <c r="K465" i="2" s="1"/>
  <c r="I464" i="2"/>
  <c r="I463" i="2"/>
  <c r="I462" i="2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N449" i="2"/>
  <c r="L449" i="2"/>
  <c r="M449" i="2" s="1"/>
  <c r="P448" i="2"/>
  <c r="O448" i="2"/>
  <c r="P445" i="2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J434" i="2"/>
  <c r="P431" i="2"/>
  <c r="L431" i="2"/>
  <c r="O431" i="2" s="1"/>
  <c r="P430" i="2"/>
  <c r="O430" i="2"/>
  <c r="N429" i="2"/>
  <c r="M429" i="2"/>
  <c r="P429" i="2" s="1"/>
  <c r="N424" i="2"/>
  <c r="L424" i="2"/>
  <c r="O424" i="2" s="1"/>
  <c r="P423" i="2"/>
  <c r="O423" i="2"/>
  <c r="N422" i="2"/>
  <c r="N421" i="2"/>
  <c r="N419" i="2" s="1"/>
  <c r="P420" i="2"/>
  <c r="O420" i="2"/>
  <c r="N420" i="2"/>
  <c r="M420" i="2"/>
  <c r="L420" i="2"/>
  <c r="J418" i="2"/>
  <c r="K413" i="2"/>
  <c r="K412" i="2"/>
  <c r="N410" i="2"/>
  <c r="N408" i="2" s="1"/>
  <c r="M410" i="2"/>
  <c r="L410" i="2"/>
  <c r="L408" i="2" s="1"/>
  <c r="O408" i="2" s="1"/>
  <c r="P409" i="2"/>
  <c r="O409" i="2"/>
  <c r="N407" i="2"/>
  <c r="M407" i="2"/>
  <c r="M405" i="2" s="1"/>
  <c r="P405" i="2" s="1"/>
  <c r="L407" i="2"/>
  <c r="P406" i="2"/>
  <c r="O406" i="2"/>
  <c r="P403" i="2"/>
  <c r="N403" i="2"/>
  <c r="M403" i="2"/>
  <c r="L403" i="2"/>
  <c r="O403" i="2" s="1"/>
  <c r="J401" i="2"/>
  <c r="I401" i="2"/>
  <c r="K401" i="2" s="1"/>
  <c r="K400" i="2"/>
  <c r="K399" i="2"/>
  <c r="N397" i="2"/>
  <c r="N395" i="2" s="1"/>
  <c r="M397" i="2"/>
  <c r="P397" i="2" s="1"/>
  <c r="L397" i="2"/>
  <c r="P396" i="2"/>
  <c r="O396" i="2"/>
  <c r="N394" i="2"/>
  <c r="M394" i="2"/>
  <c r="L394" i="2"/>
  <c r="O394" i="2" s="1"/>
  <c r="P393" i="2"/>
  <c r="O393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M333" i="2"/>
  <c r="M331" i="2" s="1"/>
  <c r="L333" i="2"/>
  <c r="P332" i="2"/>
  <c r="O332" i="2"/>
  <c r="N329" i="2"/>
  <c r="M329" i="2"/>
  <c r="L329" i="2"/>
  <c r="O329" i="2" s="1"/>
  <c r="I327" i="2"/>
  <c r="I325" i="2"/>
  <c r="K325" i="2" s="1"/>
  <c r="N323" i="2"/>
  <c r="N321" i="2" s="1"/>
  <c r="M323" i="2"/>
  <c r="M321" i="2" s="1"/>
  <c r="P321" i="2" s="1"/>
  <c r="L323" i="2"/>
  <c r="L321" i="2" s="1"/>
  <c r="O321" i="2" s="1"/>
  <c r="P322" i="2"/>
  <c r="O322" i="2"/>
  <c r="N320" i="2"/>
  <c r="M320" i="2"/>
  <c r="L320" i="2"/>
  <c r="L318" i="2" s="1"/>
  <c r="P319" i="2"/>
  <c r="O319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M301" i="2" s="1"/>
  <c r="L303" i="2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N285" i="2"/>
  <c r="N283" i="2" s="1"/>
  <c r="M285" i="2"/>
  <c r="L285" i="2"/>
  <c r="O285" i="2" s="1"/>
  <c r="P284" i="2"/>
  <c r="O284" i="2"/>
  <c r="N282" i="2"/>
  <c r="N280" i="2" s="1"/>
  <c r="M282" i="2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L269" i="2"/>
  <c r="P268" i="2"/>
  <c r="O268" i="2"/>
  <c r="N266" i="2"/>
  <c r="M266" i="2"/>
  <c r="L266" i="2"/>
  <c r="L264" i="2" s="1"/>
  <c r="P265" i="2"/>
  <c r="O265" i="2"/>
  <c r="O262" i="2"/>
  <c r="N262" i="2"/>
  <c r="M262" i="2"/>
  <c r="L262" i="2"/>
  <c r="J260" i="2"/>
  <c r="I260" i="2"/>
  <c r="K260" i="2" s="1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N227" i="2" s="1"/>
  <c r="J237" i="2"/>
  <c r="J236" i="2"/>
  <c r="I236" i="2"/>
  <c r="K236" i="2" s="1"/>
  <c r="J235" i="2"/>
  <c r="K235" i="2" s="1"/>
  <c r="I235" i="2"/>
  <c r="J233" i="2"/>
  <c r="N231" i="2"/>
  <c r="N230" i="2"/>
  <c r="N229" i="2"/>
  <c r="N228" i="2"/>
  <c r="J226" i="2"/>
  <c r="I225" i="2"/>
  <c r="I224" i="2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M186" i="2"/>
  <c r="M184" i="2" s="1"/>
  <c r="L186" i="2"/>
  <c r="P185" i="2"/>
  <c r="O185" i="2"/>
  <c r="O182" i="2"/>
  <c r="N182" i="2"/>
  <c r="M182" i="2"/>
  <c r="P182" i="2" s="1"/>
  <c r="L182" i="2"/>
  <c r="J180" i="2"/>
  <c r="J177" i="2"/>
  <c r="I176" i="2"/>
  <c r="I174" i="2" s="1"/>
  <c r="J174" i="2"/>
  <c r="J164" i="2" s="1"/>
  <c r="N173" i="2"/>
  <c r="N171" i="2" s="1"/>
  <c r="M173" i="2"/>
  <c r="L173" i="2"/>
  <c r="O173" i="2" s="1"/>
  <c r="P172" i="2"/>
  <c r="O172" i="2"/>
  <c r="N170" i="2"/>
  <c r="N168" i="2" s="1"/>
  <c r="M170" i="2"/>
  <c r="L170" i="2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L157" i="2"/>
  <c r="O157" i="2" s="1"/>
  <c r="P156" i="2"/>
  <c r="O156" i="2"/>
  <c r="N154" i="2"/>
  <c r="N152" i="2" s="1"/>
  <c r="M154" i="2"/>
  <c r="M152" i="2" s="1"/>
  <c r="L154" i="2"/>
  <c r="P153" i="2"/>
  <c r="O153" i="2"/>
  <c r="N150" i="2"/>
  <c r="M150" i="2"/>
  <c r="L150" i="2"/>
  <c r="J148" i="2"/>
  <c r="I146" i="2"/>
  <c r="I130" i="2" s="1"/>
  <c r="K130" i="2" s="1"/>
  <c r="I145" i="2"/>
  <c r="K145" i="2" s="1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M137" i="2"/>
  <c r="L137" i="2"/>
  <c r="L135" i="2" s="1"/>
  <c r="O135" i="2" s="1"/>
  <c r="P136" i="2"/>
  <c r="O136" i="2"/>
  <c r="P133" i="2"/>
  <c r="O133" i="2"/>
  <c r="N133" i="2"/>
  <c r="M133" i="2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N122" i="2" s="1"/>
  <c r="M124" i="2"/>
  <c r="M122" i="2" s="1"/>
  <c r="P122" i="2" s="1"/>
  <c r="L124" i="2"/>
  <c r="O124" i="2" s="1"/>
  <c r="P123" i="2"/>
  <c r="O123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J98" i="2"/>
  <c r="J86" i="2" s="1"/>
  <c r="I98" i="2"/>
  <c r="K98" i="2" s="1"/>
  <c r="N96" i="2"/>
  <c r="N94" i="2" s="1"/>
  <c r="M96" i="2"/>
  <c r="M94" i="2" s="1"/>
  <c r="P94" i="2" s="1"/>
  <c r="L96" i="2"/>
  <c r="O96" i="2" s="1"/>
  <c r="P95" i="2"/>
  <c r="O95" i="2"/>
  <c r="N93" i="2"/>
  <c r="N91" i="2" s="1"/>
  <c r="M93" i="2"/>
  <c r="M91" i="2" s="1"/>
  <c r="L93" i="2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J64" i="2" s="1"/>
  <c r="N74" i="2"/>
  <c r="N72" i="2" s="1"/>
  <c r="M74" i="2"/>
  <c r="P74" i="2" s="1"/>
  <c r="L74" i="2"/>
  <c r="O74" i="2" s="1"/>
  <c r="P73" i="2"/>
  <c r="O73" i="2"/>
  <c r="N71" i="2"/>
  <c r="M71" i="2"/>
  <c r="L71" i="2"/>
  <c r="O71" i="2" s="1"/>
  <c r="P70" i="2"/>
  <c r="O70" i="2"/>
  <c r="P67" i="2"/>
  <c r="O67" i="2"/>
  <c r="N67" i="2"/>
  <c r="M67" i="2"/>
  <c r="L67" i="2"/>
  <c r="N61" i="2"/>
  <c r="M61" i="2"/>
  <c r="M59" i="2" s="1"/>
  <c r="L61" i="2"/>
  <c r="P60" i="2"/>
  <c r="O60" i="2"/>
  <c r="N58" i="2"/>
  <c r="M58" i="2"/>
  <c r="M56" i="2" s="1"/>
  <c r="L58" i="2"/>
  <c r="P57" i="2"/>
  <c r="O57" i="2"/>
  <c r="N54" i="2"/>
  <c r="M54" i="2"/>
  <c r="P54" i="2" s="1"/>
  <c r="L54" i="2"/>
  <c r="N49" i="2"/>
  <c r="N47" i="2" s="1"/>
  <c r="M49" i="2"/>
  <c r="L49" i="2"/>
  <c r="O49" i="2" s="1"/>
  <c r="P48" i="2"/>
  <c r="O48" i="2"/>
  <c r="N46" i="2"/>
  <c r="M46" i="2"/>
  <c r="L46" i="2"/>
  <c r="L44" i="2" s="1"/>
  <c r="P45" i="2"/>
  <c r="O45" i="2"/>
  <c r="N42" i="2"/>
  <c r="M42" i="2"/>
  <c r="L42" i="2"/>
  <c r="O42" i="2" s="1"/>
  <c r="N36" i="2"/>
  <c r="M36" i="2"/>
  <c r="P35" i="2"/>
  <c r="O35" i="2"/>
  <c r="N35" i="2"/>
  <c r="N29" i="2" s="1"/>
  <c r="M35" i="2"/>
  <c r="L35" i="2"/>
  <c r="O32" i="2"/>
  <c r="N32" i="2"/>
  <c r="M32" i="2"/>
  <c r="M29" i="2" s="1"/>
  <c r="L32" i="2"/>
  <c r="L29" i="2"/>
  <c r="P25" i="2"/>
  <c r="O25" i="2"/>
  <c r="N25" i="2"/>
  <c r="N15" i="2" s="1"/>
  <c r="M25" i="2"/>
  <c r="L25" i="2"/>
  <c r="O22" i="2"/>
  <c r="N22" i="2"/>
  <c r="M22" i="2"/>
  <c r="M12" i="2" s="1"/>
  <c r="L22" i="2"/>
  <c r="N19" i="2"/>
  <c r="L19" i="2"/>
  <c r="M15" i="2"/>
  <c r="L15" i="2"/>
  <c r="L9" i="2" s="1"/>
  <c r="O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N808" i="1"/>
  <c r="M808" i="1"/>
  <c r="L808" i="1"/>
  <c r="O808" i="1" s="1"/>
  <c r="O807" i="1"/>
  <c r="N807" i="1"/>
  <c r="M807" i="1"/>
  <c r="L807" i="1"/>
  <c r="P806" i="1"/>
  <c r="N806" i="1"/>
  <c r="N805" i="1" s="1"/>
  <c r="M806" i="1"/>
  <c r="L806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8" i="1" s="1"/>
  <c r="M786" i="1" s="1"/>
  <c r="L791" i="1"/>
  <c r="L788" i="1" s="1"/>
  <c r="P790" i="1"/>
  <c r="O790" i="1"/>
  <c r="P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N773" i="1" s="1"/>
  <c r="P774" i="1"/>
  <c r="O774" i="1"/>
  <c r="O773" i="1"/>
  <c r="M773" i="1"/>
  <c r="P773" i="1" s="1"/>
  <c r="L773" i="1"/>
  <c r="P772" i="1"/>
  <c r="M772" i="1"/>
  <c r="L772" i="1"/>
  <c r="O772" i="1" s="1"/>
  <c r="O771" i="1"/>
  <c r="N771" i="1"/>
  <c r="M771" i="1"/>
  <c r="L771" i="1"/>
  <c r="L770" i="1"/>
  <c r="O770" i="1" s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O757" i="1"/>
  <c r="M757" i="1"/>
  <c r="P757" i="1" s="1"/>
  <c r="L757" i="1"/>
  <c r="P756" i="1"/>
  <c r="M756" i="1"/>
  <c r="L756" i="1"/>
  <c r="O756" i="1" s="1"/>
  <c r="O755" i="1"/>
  <c r="N755" i="1"/>
  <c r="M755" i="1"/>
  <c r="L755" i="1"/>
  <c r="L754" i="1"/>
  <c r="O754" i="1" s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N740" i="1" s="1"/>
  <c r="P741" i="1"/>
  <c r="O741" i="1"/>
  <c r="O740" i="1"/>
  <c r="M740" i="1"/>
  <c r="P740" i="1" s="1"/>
  <c r="L740" i="1"/>
  <c r="P739" i="1"/>
  <c r="N739" i="1"/>
  <c r="M739" i="1"/>
  <c r="L739" i="1"/>
  <c r="O739" i="1" s="1"/>
  <c r="O738" i="1"/>
  <c r="N738" i="1"/>
  <c r="M738" i="1"/>
  <c r="L738" i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7" i="1" s="1"/>
  <c r="L690" i="1"/>
  <c r="L687" i="1" s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M657" i="1" s="1"/>
  <c r="L660" i="1"/>
  <c r="L658" i="1" s="1"/>
  <c r="P659" i="1"/>
  <c r="O659" i="1"/>
  <c r="P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M634" i="1"/>
  <c r="M631" i="1" s="1"/>
  <c r="M629" i="1" s="1"/>
  <c r="L634" i="1"/>
  <c r="L632" i="1" s="1"/>
  <c r="P633" i="1"/>
  <c r="O633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6" i="1" s="1"/>
  <c r="L549" i="1"/>
  <c r="P548" i="1"/>
  <c r="O548" i="1"/>
  <c r="O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P527" i="1"/>
  <c r="O527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O505" i="1"/>
  <c r="M505" i="1"/>
  <c r="P505" i="1" s="1"/>
  <c r="L505" i="1"/>
  <c r="P504" i="1"/>
  <c r="M504" i="1"/>
  <c r="L504" i="1"/>
  <c r="O504" i="1" s="1"/>
  <c r="O503" i="1"/>
  <c r="N503" i="1"/>
  <c r="M503" i="1"/>
  <c r="L503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M472" i="1"/>
  <c r="M469" i="1" s="1"/>
  <c r="M467" i="1" s="1"/>
  <c r="L472" i="1"/>
  <c r="L470" i="1" s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N420" i="1"/>
  <c r="M420" i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L407" i="1"/>
  <c r="P406" i="1"/>
  <c r="O406" i="1"/>
  <c r="N403" i="1"/>
  <c r="M403" i="1"/>
  <c r="P403" i="1" s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N392" i="1" s="1"/>
  <c r="M394" i="1"/>
  <c r="M392" i="1" s="1"/>
  <c r="P392" i="1" s="1"/>
  <c r="L394" i="1"/>
  <c r="P393" i="1"/>
  <c r="O393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M333" i="1"/>
  <c r="M331" i="1" s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P323" i="1" s="1"/>
  <c r="L323" i="1"/>
  <c r="L321" i="1" s="1"/>
  <c r="O321" i="1" s="1"/>
  <c r="P322" i="1"/>
  <c r="O322" i="1"/>
  <c r="N320" i="1"/>
  <c r="M320" i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M303" i="1"/>
  <c r="M301" i="1" s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M282" i="1"/>
  <c r="L282" i="1"/>
  <c r="L280" i="1" s="1"/>
  <c r="P281" i="1"/>
  <c r="O281" i="1"/>
  <c r="O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P265" i="1"/>
  <c r="O265" i="1"/>
  <c r="O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O173" i="1" s="1"/>
  <c r="P172" i="1"/>
  <c r="O172" i="1"/>
  <c r="N170" i="1"/>
  <c r="N168" i="1" s="1"/>
  <c r="M170" i="1"/>
  <c r="M168" i="1" s="1"/>
  <c r="L170" i="1"/>
  <c r="P169" i="1"/>
  <c r="O169" i="1"/>
  <c r="P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L154" i="1"/>
  <c r="P153" i="1"/>
  <c r="O153" i="1"/>
  <c r="N150" i="1"/>
  <c r="M150" i="1"/>
  <c r="P150" i="1" s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N135" i="1" s="1"/>
  <c r="M137" i="1"/>
  <c r="M135" i="1" s="1"/>
  <c r="L137" i="1"/>
  <c r="P136" i="1"/>
  <c r="O136" i="1"/>
  <c r="O133" i="1"/>
  <c r="N133" i="1"/>
  <c r="M133" i="1"/>
  <c r="P133" i="1" s="1"/>
  <c r="L133" i="1"/>
  <c r="N127" i="1"/>
  <c r="N125" i="1" s="1"/>
  <c r="M127" i="1"/>
  <c r="L127" i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M96" i="1"/>
  <c r="P96" i="1" s="1"/>
  <c r="L96" i="1"/>
  <c r="O96" i="1" s="1"/>
  <c r="P95" i="1"/>
  <c r="O95" i="1"/>
  <c r="N93" i="1"/>
  <c r="N91" i="1" s="1"/>
  <c r="M93" i="1"/>
  <c r="M91" i="1" s="1"/>
  <c r="L93" i="1"/>
  <c r="L91" i="1" s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M74" i="1"/>
  <c r="P74" i="1" s="1"/>
  <c r="L74" i="1"/>
  <c r="O74" i="1" s="1"/>
  <c r="P73" i="1"/>
  <c r="O73" i="1"/>
  <c r="N71" i="1"/>
  <c r="N69" i="1" s="1"/>
  <c r="M71" i="1"/>
  <c r="M69" i="1" s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M59" i="1" s="1"/>
  <c r="L61" i="1"/>
  <c r="L59" i="1" s="1"/>
  <c r="P60" i="1"/>
  <c r="O60" i="1"/>
  <c r="N58" i="1"/>
  <c r="N56" i="1" s="1"/>
  <c r="M58" i="1"/>
  <c r="L58" i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M46" i="1"/>
  <c r="P32" i="1" s="1"/>
  <c r="L46" i="1"/>
  <c r="P45" i="1"/>
  <c r="O45" i="1"/>
  <c r="N42" i="1"/>
  <c r="M42" i="1"/>
  <c r="P42" i="1" s="1"/>
  <c r="L42" i="1"/>
  <c r="O42" i="1" s="1"/>
  <c r="N36" i="1"/>
  <c r="M36" i="1"/>
  <c r="P36" i="1" s="1"/>
  <c r="N35" i="1"/>
  <c r="N29" i="1" s="1"/>
  <c r="M35" i="1"/>
  <c r="P35" i="1" s="1"/>
  <c r="L35" i="1"/>
  <c r="O35" i="1" s="1"/>
  <c r="N34" i="1"/>
  <c r="N32" i="1"/>
  <c r="M32" i="1"/>
  <c r="M29" i="1" s="1"/>
  <c r="L32" i="1"/>
  <c r="O32" i="1" s="1"/>
  <c r="O29" i="1"/>
  <c r="L29" i="1"/>
  <c r="O25" i="1"/>
  <c r="N25" i="1"/>
  <c r="M25" i="1"/>
  <c r="P25" i="1" s="1"/>
  <c r="L25" i="1"/>
  <c r="N22" i="1"/>
  <c r="M22" i="1"/>
  <c r="P22" i="1" s="1"/>
  <c r="L22" i="1"/>
  <c r="O22" i="1" s="1"/>
  <c r="M19" i="1"/>
  <c r="P19" i="1" s="1"/>
  <c r="L19" i="1"/>
  <c r="O19" i="1" s="1"/>
  <c r="L15" i="1"/>
  <c r="O15" i="1" s="1"/>
  <c r="I216" i="3" l="1"/>
  <c r="K216" i="3" s="1"/>
  <c r="I237" i="8"/>
  <c r="K237" i="8" s="1"/>
  <c r="I248" i="2"/>
  <c r="K248" i="2" s="1"/>
  <c r="I197" i="14"/>
  <c r="K197" i="14" s="1"/>
  <c r="L788" i="5"/>
  <c r="L786" i="5" s="1"/>
  <c r="O786" i="5" s="1"/>
  <c r="I442" i="9"/>
  <c r="K442" i="9" s="1"/>
  <c r="I237" i="17"/>
  <c r="K237" i="17" s="1"/>
  <c r="I197" i="9"/>
  <c r="K197" i="9" s="1"/>
  <c r="I197" i="11"/>
  <c r="K197" i="11" s="1"/>
  <c r="L657" i="7"/>
  <c r="O657" i="7" s="1"/>
  <c r="I237" i="5"/>
  <c r="K237" i="5" s="1"/>
  <c r="I237" i="10"/>
  <c r="K237" i="10" s="1"/>
  <c r="I86" i="18"/>
  <c r="K86" i="18" s="1"/>
  <c r="I197" i="20"/>
  <c r="K197" i="20" s="1"/>
  <c r="I248" i="10"/>
  <c r="K248" i="10" s="1"/>
  <c r="I216" i="11"/>
  <c r="K216" i="11" s="1"/>
  <c r="I197" i="18"/>
  <c r="K197" i="18" s="1"/>
  <c r="I248" i="17"/>
  <c r="K248" i="17" s="1"/>
  <c r="L657" i="11"/>
  <c r="O657" i="11" s="1"/>
  <c r="I216" i="17"/>
  <c r="K216" i="17" s="1"/>
  <c r="K700" i="22"/>
  <c r="K338" i="22"/>
  <c r="I237" i="19"/>
  <c r="K237" i="19" s="1"/>
  <c r="I364" i="22"/>
  <c r="K364" i="22" s="1"/>
  <c r="L454" i="21"/>
  <c r="O454" i="21" s="1"/>
  <c r="N263" i="22"/>
  <c r="N261" i="22" s="1"/>
  <c r="M660" i="22"/>
  <c r="P660" i="22" s="1"/>
  <c r="L72" i="22"/>
  <c r="O72" i="22" s="1"/>
  <c r="K145" i="21"/>
  <c r="N183" i="21"/>
  <c r="N181" i="21" s="1"/>
  <c r="L300" i="21"/>
  <c r="L298" i="21" s="1"/>
  <c r="L229" i="22"/>
  <c r="M183" i="21"/>
  <c r="M181" i="21" s="1"/>
  <c r="K215" i="21"/>
  <c r="M187" i="21"/>
  <c r="P187" i="21" s="1"/>
  <c r="K823" i="22"/>
  <c r="K827" i="22"/>
  <c r="M404" i="20"/>
  <c r="M402" i="20" s="1"/>
  <c r="P402" i="20" s="1"/>
  <c r="K98" i="21"/>
  <c r="N330" i="22"/>
  <c r="N328" i="22" s="1"/>
  <c r="J327" i="22"/>
  <c r="K327" i="22" s="1"/>
  <c r="O351" i="22"/>
  <c r="I86" i="22"/>
  <c r="K86" i="22" s="1"/>
  <c r="L55" i="22"/>
  <c r="L53" i="22" s="1"/>
  <c r="N151" i="22"/>
  <c r="N149" i="22" s="1"/>
  <c r="L421" i="22"/>
  <c r="L419" i="22" s="1"/>
  <c r="I785" i="22"/>
  <c r="K785" i="22" s="1"/>
  <c r="I364" i="21"/>
  <c r="O407" i="22"/>
  <c r="M151" i="21"/>
  <c r="M149" i="21" s="1"/>
  <c r="K255" i="22"/>
  <c r="O641" i="22"/>
  <c r="K537" i="22"/>
  <c r="L631" i="22"/>
  <c r="O631" i="22" s="1"/>
  <c r="K143" i="22"/>
  <c r="M300" i="22"/>
  <c r="P300" i="22" s="1"/>
  <c r="M317" i="22"/>
  <c r="P317" i="22" s="1"/>
  <c r="K340" i="22"/>
  <c r="J433" i="22"/>
  <c r="J417" i="22" s="1"/>
  <c r="L56" i="22"/>
  <c r="I87" i="22"/>
  <c r="K87" i="22" s="1"/>
  <c r="O549" i="22"/>
  <c r="O336" i="21"/>
  <c r="N134" i="22"/>
  <c r="N132" i="22" s="1"/>
  <c r="L657" i="22"/>
  <c r="L655" i="22" s="1"/>
  <c r="L121" i="22"/>
  <c r="O121" i="22" s="1"/>
  <c r="L263" i="22"/>
  <c r="L261" i="22" s="1"/>
  <c r="L421" i="16"/>
  <c r="L419" i="16" s="1"/>
  <c r="P306" i="20"/>
  <c r="L36" i="22"/>
  <c r="L34" i="22" s="1"/>
  <c r="O34" i="22" s="1"/>
  <c r="L198" i="21"/>
  <c r="O198" i="21" s="1"/>
  <c r="O44" i="22"/>
  <c r="N317" i="22"/>
  <c r="N315" i="22" s="1"/>
  <c r="M330" i="22"/>
  <c r="M328" i="22" s="1"/>
  <c r="M23" i="22"/>
  <c r="M21" i="22" s="1"/>
  <c r="L183" i="22"/>
  <c r="L181" i="22" s="1"/>
  <c r="L217" i="22"/>
  <c r="O217" i="22" s="1"/>
  <c r="L391" i="22"/>
  <c r="O431" i="22"/>
  <c r="M59" i="22"/>
  <c r="P59" i="22" s="1"/>
  <c r="M43" i="21"/>
  <c r="M41" i="21" s="1"/>
  <c r="I76" i="22"/>
  <c r="K76" i="22" s="1"/>
  <c r="L187" i="22"/>
  <c r="O187" i="22" s="1"/>
  <c r="N318" i="22"/>
  <c r="L330" i="22"/>
  <c r="L395" i="22"/>
  <c r="O395" i="22" s="1"/>
  <c r="L454" i="22"/>
  <c r="O454" i="22" s="1"/>
  <c r="O557" i="22"/>
  <c r="L789" i="22"/>
  <c r="O789" i="22" s="1"/>
  <c r="O791" i="22"/>
  <c r="K825" i="22"/>
  <c r="L228" i="20"/>
  <c r="L279" i="20"/>
  <c r="L277" i="20" s="1"/>
  <c r="O277" i="20" s="1"/>
  <c r="L526" i="22"/>
  <c r="O526" i="22" s="1"/>
  <c r="L304" i="21"/>
  <c r="O304" i="21" s="1"/>
  <c r="M330" i="21"/>
  <c r="M328" i="21" s="1"/>
  <c r="L134" i="22"/>
  <c r="O134" i="22" s="1"/>
  <c r="I148" i="22"/>
  <c r="K148" i="22" s="1"/>
  <c r="L231" i="22"/>
  <c r="O266" i="22"/>
  <c r="N404" i="22"/>
  <c r="N402" i="22" s="1"/>
  <c r="I559" i="22"/>
  <c r="I543" i="22" s="1"/>
  <c r="K543" i="22" s="1"/>
  <c r="O46" i="22"/>
  <c r="M55" i="22"/>
  <c r="M53" i="22" s="1"/>
  <c r="I208" i="22"/>
  <c r="K208" i="22" s="1"/>
  <c r="I275" i="22"/>
  <c r="K275" i="22" s="1"/>
  <c r="L334" i="22"/>
  <c r="O334" i="22" s="1"/>
  <c r="M404" i="22"/>
  <c r="P404" i="22" s="1"/>
  <c r="L547" i="22"/>
  <c r="O547" i="22" s="1"/>
  <c r="K699" i="22"/>
  <c r="N347" i="22"/>
  <c r="N345" i="22" s="1"/>
  <c r="L788" i="20"/>
  <c r="O788" i="20" s="1"/>
  <c r="M26" i="22"/>
  <c r="M24" i="22" s="1"/>
  <c r="J364" i="22"/>
  <c r="N68" i="21"/>
  <c r="N66" i="21" s="1"/>
  <c r="L788" i="21"/>
  <c r="O788" i="21" s="1"/>
  <c r="N43" i="22"/>
  <c r="N41" i="22" s="1"/>
  <c r="N68" i="22"/>
  <c r="N66" i="22" s="1"/>
  <c r="J288" i="22"/>
  <c r="J275" i="22" s="1"/>
  <c r="L318" i="22"/>
  <c r="O318" i="22" s="1"/>
  <c r="L347" i="22"/>
  <c r="O456" i="22"/>
  <c r="K828" i="22"/>
  <c r="M547" i="22"/>
  <c r="P547" i="22" s="1"/>
  <c r="M546" i="22"/>
  <c r="M544" i="22" s="1"/>
  <c r="P544" i="22" s="1"/>
  <c r="P549" i="22"/>
  <c r="O331" i="22"/>
  <c r="M300" i="20"/>
  <c r="P300" i="20" s="1"/>
  <c r="I87" i="21"/>
  <c r="K87" i="21" s="1"/>
  <c r="L155" i="21"/>
  <c r="O155" i="21" s="1"/>
  <c r="L330" i="21"/>
  <c r="L328" i="21" s="1"/>
  <c r="O528" i="21"/>
  <c r="L59" i="22"/>
  <c r="O59" i="22" s="1"/>
  <c r="I77" i="22"/>
  <c r="I65" i="22" s="1"/>
  <c r="K65" i="22" s="1"/>
  <c r="O93" i="22"/>
  <c r="P96" i="22"/>
  <c r="O127" i="22"/>
  <c r="M134" i="22"/>
  <c r="P140" i="22"/>
  <c r="I197" i="22"/>
  <c r="K197" i="22" s="1"/>
  <c r="M263" i="22"/>
  <c r="L300" i="22"/>
  <c r="O300" i="22" s="1"/>
  <c r="P320" i="22"/>
  <c r="K365" i="22"/>
  <c r="L392" i="22"/>
  <c r="O392" i="22" s="1"/>
  <c r="M424" i="22"/>
  <c r="M422" i="22" s="1"/>
  <c r="I443" i="22"/>
  <c r="K443" i="22" s="1"/>
  <c r="K651" i="22"/>
  <c r="O690" i="22"/>
  <c r="P189" i="20"/>
  <c r="N167" i="21"/>
  <c r="N165" i="21" s="1"/>
  <c r="N55" i="22"/>
  <c r="N53" i="22" s="1"/>
  <c r="N90" i="22"/>
  <c r="N88" i="22" s="1"/>
  <c r="P124" i="22"/>
  <c r="P137" i="22"/>
  <c r="L228" i="22"/>
  <c r="P266" i="22"/>
  <c r="M279" i="22"/>
  <c r="P279" i="22" s="1"/>
  <c r="P282" i="22"/>
  <c r="N300" i="22"/>
  <c r="N298" i="22" s="1"/>
  <c r="L404" i="22"/>
  <c r="O404" i="22" s="1"/>
  <c r="J722" i="22"/>
  <c r="K722" i="22" s="1"/>
  <c r="M151" i="19"/>
  <c r="M149" i="19" s="1"/>
  <c r="M55" i="21"/>
  <c r="M53" i="21" s="1"/>
  <c r="P170" i="21"/>
  <c r="K80" i="22"/>
  <c r="N121" i="22"/>
  <c r="N119" i="22" s="1"/>
  <c r="N264" i="22"/>
  <c r="O264" i="22" s="1"/>
  <c r="L283" i="22"/>
  <c r="O283" i="22" s="1"/>
  <c r="O303" i="22"/>
  <c r="O306" i="22"/>
  <c r="M347" i="22"/>
  <c r="O410" i="22"/>
  <c r="M43" i="22"/>
  <c r="M41" i="22" s="1"/>
  <c r="P49" i="22"/>
  <c r="M151" i="22"/>
  <c r="P151" i="22" s="1"/>
  <c r="P157" i="22"/>
  <c r="L167" i="22"/>
  <c r="O167" i="22" s="1"/>
  <c r="L422" i="22"/>
  <c r="O422" i="22" s="1"/>
  <c r="L632" i="22"/>
  <c r="O632" i="22" s="1"/>
  <c r="L68" i="21"/>
  <c r="L66" i="21" s="1"/>
  <c r="K372" i="21"/>
  <c r="O557" i="21"/>
  <c r="K824" i="21"/>
  <c r="L152" i="22"/>
  <c r="O152" i="22" s="1"/>
  <c r="N167" i="22"/>
  <c r="N165" i="22" s="1"/>
  <c r="O170" i="22"/>
  <c r="P173" i="22"/>
  <c r="N183" i="22"/>
  <c r="N181" i="22" s="1"/>
  <c r="N304" i="22"/>
  <c r="O350" i="22"/>
  <c r="O353" i="22"/>
  <c r="L470" i="22"/>
  <c r="O470" i="22" s="1"/>
  <c r="L546" i="22"/>
  <c r="O546" i="22" s="1"/>
  <c r="L231" i="20"/>
  <c r="K823" i="20"/>
  <c r="N151" i="21"/>
  <c r="L229" i="21"/>
  <c r="L43" i="22"/>
  <c r="O91" i="22"/>
  <c r="N152" i="22"/>
  <c r="L171" i="22"/>
  <c r="O171" i="22" s="1"/>
  <c r="L348" i="22"/>
  <c r="O348" i="22" s="1"/>
  <c r="L688" i="22"/>
  <c r="O688" i="22" s="1"/>
  <c r="K824" i="22"/>
  <c r="K369" i="21"/>
  <c r="L33" i="22"/>
  <c r="P91" i="22"/>
  <c r="L198" i="22"/>
  <c r="O198" i="22" s="1"/>
  <c r="O333" i="22"/>
  <c r="O394" i="22"/>
  <c r="J721" i="22"/>
  <c r="K721" i="22" s="1"/>
  <c r="O29" i="22"/>
  <c r="N9" i="22"/>
  <c r="I164" i="22"/>
  <c r="K164" i="22" s="1"/>
  <c r="K174" i="22"/>
  <c r="M121" i="19"/>
  <c r="P121" i="19" s="1"/>
  <c r="N69" i="21"/>
  <c r="N155" i="21"/>
  <c r="N187" i="21"/>
  <c r="L263" i="21"/>
  <c r="L261" i="21" s="1"/>
  <c r="K726" i="21"/>
  <c r="P35" i="22"/>
  <c r="M34" i="22"/>
  <c r="P34" i="22" s="1"/>
  <c r="P42" i="22"/>
  <c r="M44" i="22"/>
  <c r="P44" i="22" s="1"/>
  <c r="P46" i="22"/>
  <c r="M56" i="22"/>
  <c r="P56" i="22" s="1"/>
  <c r="O58" i="22"/>
  <c r="L68" i="22"/>
  <c r="K79" i="22"/>
  <c r="M90" i="22"/>
  <c r="O96" i="22"/>
  <c r="O120" i="22"/>
  <c r="P186" i="22"/>
  <c r="I216" i="22"/>
  <c r="K216" i="22" s="1"/>
  <c r="P278" i="22"/>
  <c r="M283" i="22"/>
  <c r="P283" i="22" s="1"/>
  <c r="K674" i="21"/>
  <c r="P22" i="22"/>
  <c r="M12" i="22"/>
  <c r="M68" i="22"/>
  <c r="P68" i="22" s="1"/>
  <c r="L122" i="22"/>
  <c r="O122" i="22" s="1"/>
  <c r="P184" i="22"/>
  <c r="P189" i="22"/>
  <c r="L238" i="22"/>
  <c r="K325" i="22"/>
  <c r="I314" i="22"/>
  <c r="K314" i="22" s="1"/>
  <c r="P333" i="22"/>
  <c r="M331" i="22"/>
  <c r="P331" i="22" s="1"/>
  <c r="M334" i="22"/>
  <c r="P334" i="22" s="1"/>
  <c r="P336" i="22"/>
  <c r="N121" i="20"/>
  <c r="N119" i="20" s="1"/>
  <c r="O137" i="20"/>
  <c r="O96" i="21"/>
  <c r="M121" i="21"/>
  <c r="P121" i="21" s="1"/>
  <c r="L209" i="21"/>
  <c r="O209" i="21" s="1"/>
  <c r="K381" i="21"/>
  <c r="K465" i="21"/>
  <c r="L469" i="21"/>
  <c r="L467" i="21" s="1"/>
  <c r="O467" i="21" s="1"/>
  <c r="O479" i="21"/>
  <c r="N26" i="22"/>
  <c r="N16" i="22" s="1"/>
  <c r="I112" i="22"/>
  <c r="K112" i="22" s="1"/>
  <c r="O124" i="22"/>
  <c r="O137" i="22"/>
  <c r="K145" i="22"/>
  <c r="O150" i="22"/>
  <c r="P170" i="22"/>
  <c r="K176" i="22"/>
  <c r="O182" i="22"/>
  <c r="L209" i="22"/>
  <c r="O209" i="22" s="1"/>
  <c r="M351" i="22"/>
  <c r="P351" i="22" s="1"/>
  <c r="P353" i="22"/>
  <c r="L263" i="18"/>
  <c r="L261" i="18" s="1"/>
  <c r="I434" i="20"/>
  <c r="K434" i="20" s="1"/>
  <c r="O58" i="21"/>
  <c r="O32" i="22"/>
  <c r="O89" i="22"/>
  <c r="O269" i="22"/>
  <c r="L267" i="22"/>
  <c r="O267" i="22" s="1"/>
  <c r="O282" i="22"/>
  <c r="L280" i="22"/>
  <c r="O280" i="22" s="1"/>
  <c r="L279" i="22"/>
  <c r="O303" i="20"/>
  <c r="L318" i="20"/>
  <c r="O318" i="20" s="1"/>
  <c r="O348" i="20"/>
  <c r="M47" i="21"/>
  <c r="P47" i="21" s="1"/>
  <c r="O186" i="21"/>
  <c r="N330" i="21"/>
  <c r="N328" i="21" s="1"/>
  <c r="M347" i="21"/>
  <c r="M345" i="21" s="1"/>
  <c r="J721" i="21"/>
  <c r="K721" i="21" s="1"/>
  <c r="K822" i="21"/>
  <c r="K826" i="21"/>
  <c r="O19" i="22"/>
  <c r="L23" i="22"/>
  <c r="L69" i="22"/>
  <c r="O69" i="22" s="1"/>
  <c r="O140" i="22"/>
  <c r="P154" i="22"/>
  <c r="M167" i="22"/>
  <c r="I233" i="22"/>
  <c r="K233" i="22" s="1"/>
  <c r="K244" i="22"/>
  <c r="P269" i="22"/>
  <c r="M267" i="22"/>
  <c r="P267" i="22" s="1"/>
  <c r="N279" i="22"/>
  <c r="N277" i="22" s="1"/>
  <c r="K309" i="22"/>
  <c r="I297" i="22"/>
  <c r="K297" i="22" s="1"/>
  <c r="O346" i="22"/>
  <c r="L789" i="21"/>
  <c r="O789" i="21" s="1"/>
  <c r="P67" i="22"/>
  <c r="M69" i="22"/>
  <c r="P69" i="22" s="1"/>
  <c r="M121" i="22"/>
  <c r="N138" i="22"/>
  <c r="P150" i="22"/>
  <c r="L155" i="22"/>
  <c r="O155" i="22" s="1"/>
  <c r="O186" i="22"/>
  <c r="L184" i="22"/>
  <c r="O184" i="22" s="1"/>
  <c r="I226" i="22"/>
  <c r="L249" i="22"/>
  <c r="O249" i="22" s="1"/>
  <c r="L230" i="22"/>
  <c r="O329" i="22"/>
  <c r="N391" i="22"/>
  <c r="N389" i="22" s="1"/>
  <c r="N392" i="22"/>
  <c r="P397" i="22"/>
  <c r="M395" i="22"/>
  <c r="P395" i="22" s="1"/>
  <c r="M391" i="22"/>
  <c r="J721" i="20"/>
  <c r="K721" i="20" s="1"/>
  <c r="M72" i="21"/>
  <c r="P72" i="21" s="1"/>
  <c r="N121" i="21"/>
  <c r="N119" i="21" s="1"/>
  <c r="M424" i="21"/>
  <c r="M421" i="21" s="1"/>
  <c r="P421" i="21" s="1"/>
  <c r="K823" i="21"/>
  <c r="L12" i="22"/>
  <c r="N23" i="22"/>
  <c r="N15" i="22"/>
  <c r="P58" i="22"/>
  <c r="P93" i="22"/>
  <c r="P127" i="22"/>
  <c r="J143" i="22"/>
  <c r="J131" i="22" s="1"/>
  <c r="L151" i="22"/>
  <c r="O151" i="22" s="1"/>
  <c r="M183" i="22"/>
  <c r="K193" i="22"/>
  <c r="K271" i="22"/>
  <c r="I260" i="22"/>
  <c r="K260" i="22" s="1"/>
  <c r="O323" i="22"/>
  <c r="L321" i="22"/>
  <c r="O321" i="22" s="1"/>
  <c r="L317" i="22"/>
  <c r="O317" i="22" s="1"/>
  <c r="O49" i="22"/>
  <c r="L26" i="22"/>
  <c r="O56" i="22"/>
  <c r="M72" i="22"/>
  <c r="P72" i="22" s="1"/>
  <c r="L90" i="22"/>
  <c r="I130" i="22"/>
  <c r="K130" i="22" s="1"/>
  <c r="O166" i="22"/>
  <c r="O262" i="22"/>
  <c r="N33" i="22"/>
  <c r="N30" i="22" s="1"/>
  <c r="M304" i="22"/>
  <c r="P304" i="22" s="1"/>
  <c r="M408" i="22"/>
  <c r="P408" i="22" s="1"/>
  <c r="P755" i="22"/>
  <c r="M754" i="22"/>
  <c r="P754" i="22" s="1"/>
  <c r="L770" i="22"/>
  <c r="O770" i="22" s="1"/>
  <c r="O772" i="22"/>
  <c r="P350" i="22"/>
  <c r="M348" i="22"/>
  <c r="P348" i="22" s="1"/>
  <c r="N408" i="22"/>
  <c r="O424" i="22"/>
  <c r="I433" i="22"/>
  <c r="K435" i="22"/>
  <c r="I442" i="22"/>
  <c r="K442" i="22" s="1"/>
  <c r="O468" i="22"/>
  <c r="K593" i="22"/>
  <c r="N657" i="22"/>
  <c r="O660" i="22"/>
  <c r="N658" i="22"/>
  <c r="K672" i="22"/>
  <c r="K675" i="22"/>
  <c r="K669" i="22"/>
  <c r="K674" i="22"/>
  <c r="M688" i="22"/>
  <c r="P688" i="22" s="1"/>
  <c r="L737" i="22"/>
  <c r="O737" i="22" s="1"/>
  <c r="O739" i="22"/>
  <c r="K826" i="22"/>
  <c r="M449" i="22"/>
  <c r="L447" i="22"/>
  <c r="O447" i="22" s="1"/>
  <c r="N525" i="22"/>
  <c r="N523" i="22" s="1"/>
  <c r="N526" i="22"/>
  <c r="M629" i="22"/>
  <c r="P629" i="22" s="1"/>
  <c r="P631" i="22"/>
  <c r="N756" i="22"/>
  <c r="N754" i="22" s="1"/>
  <c r="N757" i="22"/>
  <c r="M805" i="22"/>
  <c r="P805" i="22" s="1"/>
  <c r="P807" i="22"/>
  <c r="P303" i="22"/>
  <c r="M301" i="22"/>
  <c r="P301" i="22" s="1"/>
  <c r="O316" i="22"/>
  <c r="P323" i="22"/>
  <c r="M321" i="22"/>
  <c r="P321" i="22" s="1"/>
  <c r="M392" i="22"/>
  <c r="P392" i="22" s="1"/>
  <c r="P407" i="22"/>
  <c r="M405" i="22"/>
  <c r="P405" i="22" s="1"/>
  <c r="N422" i="22"/>
  <c r="N467" i="22"/>
  <c r="I654" i="22"/>
  <c r="K654" i="22" s="1"/>
  <c r="O787" i="22"/>
  <c r="L786" i="22"/>
  <c r="O786" i="22" s="1"/>
  <c r="K438" i="22"/>
  <c r="I434" i="22"/>
  <c r="L446" i="22"/>
  <c r="O449" i="22"/>
  <c r="O658" i="22"/>
  <c r="O299" i="22"/>
  <c r="O403" i="22"/>
  <c r="N419" i="22"/>
  <c r="J537" i="22"/>
  <c r="J522" i="22" s="1"/>
  <c r="K538" i="22"/>
  <c r="O656" i="22"/>
  <c r="P690" i="22"/>
  <c r="K725" i="22"/>
  <c r="L502" i="22"/>
  <c r="O502" i="22" s="1"/>
  <c r="L523" i="22"/>
  <c r="O523" i="22" s="1"/>
  <c r="O528" i="22"/>
  <c r="I592" i="22"/>
  <c r="K592" i="22" s="1"/>
  <c r="N631" i="22"/>
  <c r="N629" i="22" s="1"/>
  <c r="M685" i="22"/>
  <c r="P685" i="22" s="1"/>
  <c r="P788" i="22"/>
  <c r="M502" i="22"/>
  <c r="P502" i="22" s="1"/>
  <c r="N505" i="22"/>
  <c r="M523" i="22"/>
  <c r="P523" i="22" s="1"/>
  <c r="L687" i="22"/>
  <c r="L754" i="22"/>
  <c r="O754" i="22" s="1"/>
  <c r="L533" i="22"/>
  <c r="O533" i="22" s="1"/>
  <c r="L469" i="22"/>
  <c r="O469" i="22" s="1"/>
  <c r="L477" i="22"/>
  <c r="O477" i="22" s="1"/>
  <c r="K723" i="22"/>
  <c r="L805" i="22"/>
  <c r="O805" i="22" s="1"/>
  <c r="L134" i="20"/>
  <c r="L132" i="20" s="1"/>
  <c r="O132" i="20" s="1"/>
  <c r="L283" i="20"/>
  <c r="O283" i="20" s="1"/>
  <c r="K723" i="20"/>
  <c r="L90" i="21"/>
  <c r="L88" i="21" s="1"/>
  <c r="O137" i="21"/>
  <c r="N168" i="21"/>
  <c r="O168" i="21" s="1"/>
  <c r="N300" i="21"/>
  <c r="N298" i="21" s="1"/>
  <c r="N391" i="21"/>
  <c r="N389" i="21" s="1"/>
  <c r="P397" i="21"/>
  <c r="K460" i="21"/>
  <c r="K647" i="21"/>
  <c r="N55" i="20"/>
  <c r="N53" i="20" s="1"/>
  <c r="M72" i="20"/>
  <c r="P72" i="20" s="1"/>
  <c r="P264" i="20"/>
  <c r="M280" i="20"/>
  <c r="P280" i="20" s="1"/>
  <c r="M283" i="20"/>
  <c r="P283" i="20" s="1"/>
  <c r="L43" i="21"/>
  <c r="L41" i="21" s="1"/>
  <c r="M94" i="21"/>
  <c r="P94" i="21" s="1"/>
  <c r="L238" i="21"/>
  <c r="O238" i="21" s="1"/>
  <c r="L347" i="21"/>
  <c r="L345" i="21" s="1"/>
  <c r="K828" i="21"/>
  <c r="L470" i="20"/>
  <c r="O470" i="20" s="1"/>
  <c r="L789" i="20"/>
  <c r="O789" i="20" s="1"/>
  <c r="O127" i="21"/>
  <c r="L134" i="21"/>
  <c r="L132" i="21" s="1"/>
  <c r="O132" i="21" s="1"/>
  <c r="L404" i="21"/>
  <c r="O404" i="21" s="1"/>
  <c r="O394" i="20"/>
  <c r="L33" i="21"/>
  <c r="N55" i="21"/>
  <c r="N53" i="21" s="1"/>
  <c r="P71" i="21"/>
  <c r="P127" i="21"/>
  <c r="M300" i="21"/>
  <c r="M298" i="21" s="1"/>
  <c r="K649" i="21"/>
  <c r="K728" i="21"/>
  <c r="K821" i="21"/>
  <c r="K825" i="21"/>
  <c r="L447" i="20"/>
  <c r="O447" i="20" s="1"/>
  <c r="P58" i="21"/>
  <c r="P186" i="21"/>
  <c r="O93" i="21"/>
  <c r="M26" i="21"/>
  <c r="M24" i="21" s="1"/>
  <c r="N43" i="21"/>
  <c r="N41" i="21" s="1"/>
  <c r="M167" i="21"/>
  <c r="M165" i="21" s="1"/>
  <c r="O170" i="21"/>
  <c r="O301" i="21"/>
  <c r="K360" i="21"/>
  <c r="L658" i="21"/>
  <c r="I77" i="21"/>
  <c r="I112" i="21"/>
  <c r="K112" i="21" s="1"/>
  <c r="K115" i="21"/>
  <c r="N134" i="21"/>
  <c r="N132" i="21" s="1"/>
  <c r="N135" i="21"/>
  <c r="K204" i="21"/>
  <c r="O431" i="21"/>
  <c r="K99" i="20"/>
  <c r="M134" i="20"/>
  <c r="M132" i="20" s="1"/>
  <c r="P132" i="20" s="1"/>
  <c r="P137" i="20"/>
  <c r="M347" i="20"/>
  <c r="M345" i="20" s="1"/>
  <c r="K675" i="20"/>
  <c r="M44" i="21"/>
  <c r="O46" i="21"/>
  <c r="P56" i="21"/>
  <c r="P61" i="21"/>
  <c r="I131" i="21"/>
  <c r="K131" i="21" s="1"/>
  <c r="K143" i="21"/>
  <c r="M301" i="21"/>
  <c r="P301" i="21" s="1"/>
  <c r="P303" i="21"/>
  <c r="K379" i="21"/>
  <c r="K385" i="21"/>
  <c r="L525" i="21"/>
  <c r="O525" i="21" s="1"/>
  <c r="L533" i="21"/>
  <c r="O533" i="21" s="1"/>
  <c r="P127" i="20"/>
  <c r="N44" i="21"/>
  <c r="O44" i="21" s="1"/>
  <c r="P46" i="21"/>
  <c r="M68" i="21"/>
  <c r="M66" i="21" s="1"/>
  <c r="N263" i="21"/>
  <c r="N261" i="21" s="1"/>
  <c r="N264" i="21"/>
  <c r="O264" i="21" s="1"/>
  <c r="I275" i="21"/>
  <c r="K275" i="21" s="1"/>
  <c r="O410" i="21"/>
  <c r="L408" i="21"/>
  <c r="O408" i="21" s="1"/>
  <c r="K438" i="20"/>
  <c r="L56" i="21"/>
  <c r="O56" i="21" s="1"/>
  <c r="K146" i="21"/>
  <c r="I130" i="21"/>
  <c r="K130" i="21" s="1"/>
  <c r="O266" i="21"/>
  <c r="O303" i="21"/>
  <c r="K338" i="21"/>
  <c r="K359" i="21"/>
  <c r="L631" i="21"/>
  <c r="L629" i="21" s="1"/>
  <c r="L632" i="21"/>
  <c r="K651" i="21"/>
  <c r="I628" i="21"/>
  <c r="K628" i="21" s="1"/>
  <c r="I785" i="21"/>
  <c r="K785" i="21" s="1"/>
  <c r="M134" i="21"/>
  <c r="P134" i="21" s="1"/>
  <c r="P137" i="21"/>
  <c r="M135" i="21"/>
  <c r="P135" i="21" s="1"/>
  <c r="L788" i="16"/>
  <c r="O788" i="16" s="1"/>
  <c r="N26" i="21"/>
  <c r="M280" i="21"/>
  <c r="M279" i="21"/>
  <c r="M277" i="21" s="1"/>
  <c r="L351" i="21"/>
  <c r="O351" i="21" s="1"/>
  <c r="O353" i="21"/>
  <c r="I197" i="6"/>
  <c r="K197" i="6" s="1"/>
  <c r="L280" i="20"/>
  <c r="O280" i="20" s="1"/>
  <c r="M348" i="20"/>
  <c r="P348" i="20" s="1"/>
  <c r="K725" i="20"/>
  <c r="M69" i="21"/>
  <c r="O74" i="21"/>
  <c r="M90" i="21"/>
  <c r="M88" i="21" s="1"/>
  <c r="P93" i="21"/>
  <c r="N91" i="21"/>
  <c r="N90" i="21"/>
  <c r="N88" i="21" s="1"/>
  <c r="K287" i="21"/>
  <c r="O407" i="21"/>
  <c r="L405" i="21"/>
  <c r="O405" i="21" s="1"/>
  <c r="K824" i="20"/>
  <c r="L36" i="21"/>
  <c r="O36" i="21" s="1"/>
  <c r="P140" i="21"/>
  <c r="M138" i="21"/>
  <c r="P138" i="21" s="1"/>
  <c r="P282" i="21"/>
  <c r="L318" i="21"/>
  <c r="O318" i="21" s="1"/>
  <c r="O320" i="21"/>
  <c r="L317" i="21"/>
  <c r="O317" i="21" s="1"/>
  <c r="L217" i="21"/>
  <c r="O217" i="21" s="1"/>
  <c r="N317" i="21"/>
  <c r="N315" i="21" s="1"/>
  <c r="P350" i="21"/>
  <c r="K370" i="21"/>
  <c r="L391" i="21"/>
  <c r="O391" i="21" s="1"/>
  <c r="N404" i="21"/>
  <c r="N402" i="21" s="1"/>
  <c r="M404" i="21"/>
  <c r="M402" i="21" s="1"/>
  <c r="P402" i="21" s="1"/>
  <c r="K672" i="21"/>
  <c r="K723" i="21"/>
  <c r="L228" i="21"/>
  <c r="L231" i="21"/>
  <c r="L279" i="21"/>
  <c r="L277" i="21" s="1"/>
  <c r="K340" i="21"/>
  <c r="N347" i="21"/>
  <c r="N345" i="21" s="1"/>
  <c r="I654" i="21"/>
  <c r="K654" i="21" s="1"/>
  <c r="M660" i="21"/>
  <c r="P660" i="21" s="1"/>
  <c r="K720" i="21"/>
  <c r="L23" i="21"/>
  <c r="L21" i="21" s="1"/>
  <c r="I233" i="21"/>
  <c r="K233" i="21" s="1"/>
  <c r="L230" i="21"/>
  <c r="N318" i="21"/>
  <c r="J327" i="21"/>
  <c r="K327" i="21" s="1"/>
  <c r="K378" i="21"/>
  <c r="L395" i="21"/>
  <c r="O395" i="21" s="1"/>
  <c r="P407" i="21"/>
  <c r="O657" i="21"/>
  <c r="K675" i="21"/>
  <c r="K725" i="21"/>
  <c r="K827" i="21"/>
  <c r="J143" i="21"/>
  <c r="J131" i="21" s="1"/>
  <c r="P157" i="21"/>
  <c r="P333" i="21"/>
  <c r="L421" i="21"/>
  <c r="O421" i="21" s="1"/>
  <c r="J722" i="21"/>
  <c r="K722" i="21" s="1"/>
  <c r="P150" i="21"/>
  <c r="O67" i="21"/>
  <c r="P120" i="21"/>
  <c r="N9" i="21"/>
  <c r="L59" i="21"/>
  <c r="O59" i="21" s="1"/>
  <c r="O61" i="21"/>
  <c r="O173" i="21"/>
  <c r="L171" i="21"/>
  <c r="O171" i="21" s="1"/>
  <c r="L26" i="21"/>
  <c r="L15" i="21"/>
  <c r="O35" i="21"/>
  <c r="L55" i="21"/>
  <c r="L167" i="21"/>
  <c r="L187" i="21"/>
  <c r="O187" i="21" s="1"/>
  <c r="L183" i="21"/>
  <c r="O189" i="21"/>
  <c r="N31" i="21"/>
  <c r="K828" i="20"/>
  <c r="L12" i="21"/>
  <c r="O32" i="21"/>
  <c r="L29" i="21"/>
  <c r="P15" i="21"/>
  <c r="K148" i="21"/>
  <c r="K537" i="21"/>
  <c r="J537" i="21"/>
  <c r="J522" i="21" s="1"/>
  <c r="I522" i="21"/>
  <c r="K522" i="21" s="1"/>
  <c r="N544" i="21"/>
  <c r="K78" i="21"/>
  <c r="I76" i="21"/>
  <c r="L122" i="21"/>
  <c r="O122" i="21" s="1"/>
  <c r="L121" i="21"/>
  <c r="O121" i="21" s="1"/>
  <c r="O124" i="21"/>
  <c r="P12" i="21"/>
  <c r="I130" i="20"/>
  <c r="K130" i="20" s="1"/>
  <c r="M9" i="21"/>
  <c r="K176" i="21"/>
  <c r="I174" i="21"/>
  <c r="O660" i="20"/>
  <c r="M660" i="20"/>
  <c r="M33" i="20" s="1"/>
  <c r="P33" i="20" s="1"/>
  <c r="L151" i="21"/>
  <c r="L152" i="21"/>
  <c r="O152" i="21" s="1"/>
  <c r="O154" i="21"/>
  <c r="O184" i="21"/>
  <c r="I76" i="20"/>
  <c r="I64" i="20" s="1"/>
  <c r="K64" i="20" s="1"/>
  <c r="O124" i="20"/>
  <c r="P170" i="20"/>
  <c r="M23" i="21"/>
  <c r="L47" i="21"/>
  <c r="O47" i="21" s="1"/>
  <c r="M59" i="21"/>
  <c r="P59" i="21" s="1"/>
  <c r="L69" i="21"/>
  <c r="M122" i="21"/>
  <c r="P122" i="21" s="1"/>
  <c r="L138" i="21"/>
  <c r="O138" i="21" s="1"/>
  <c r="K144" i="21"/>
  <c r="M152" i="21"/>
  <c r="P152" i="21" s="1"/>
  <c r="K159" i="21"/>
  <c r="M171" i="21"/>
  <c r="P171" i="21" s="1"/>
  <c r="P182" i="21"/>
  <c r="M184" i="21"/>
  <c r="P184" i="21" s="1"/>
  <c r="K193" i="21"/>
  <c r="O346" i="21"/>
  <c r="J355" i="21"/>
  <c r="K355" i="21" s="1"/>
  <c r="K362" i="21"/>
  <c r="O390" i="21"/>
  <c r="M391" i="21"/>
  <c r="P391" i="21" s="1"/>
  <c r="P394" i="21"/>
  <c r="M392" i="21"/>
  <c r="P392" i="21" s="1"/>
  <c r="O690" i="21"/>
  <c r="N788" i="21"/>
  <c r="N786" i="21" s="1"/>
  <c r="N789" i="21"/>
  <c r="I314" i="21"/>
  <c r="K314" i="21" s="1"/>
  <c r="K325" i="21"/>
  <c r="N756" i="21"/>
  <c r="N754" i="21" s="1"/>
  <c r="N757" i="21"/>
  <c r="L122" i="17"/>
  <c r="O122" i="17" s="1"/>
  <c r="N151" i="20"/>
  <c r="N149" i="20" s="1"/>
  <c r="K338" i="20"/>
  <c r="I433" i="20"/>
  <c r="I417" i="20" s="1"/>
  <c r="N23" i="21"/>
  <c r="M29" i="21"/>
  <c r="I248" i="21"/>
  <c r="K255" i="21"/>
  <c r="N279" i="21"/>
  <c r="N277" i="21" s="1"/>
  <c r="O282" i="21"/>
  <c r="N280" i="21"/>
  <c r="P306" i="21"/>
  <c r="M304" i="21"/>
  <c r="P304" i="21" s="1"/>
  <c r="J433" i="21"/>
  <c r="J417" i="21" s="1"/>
  <c r="K435" i="21"/>
  <c r="L546" i="21"/>
  <c r="O549" i="21"/>
  <c r="M549" i="21"/>
  <c r="L547" i="21"/>
  <c r="O547" i="21" s="1"/>
  <c r="L121" i="20"/>
  <c r="O121" i="20" s="1"/>
  <c r="O264" i="20"/>
  <c r="M34" i="21"/>
  <c r="P34" i="21" s="1"/>
  <c r="P35" i="21"/>
  <c r="O71" i="21"/>
  <c r="P124" i="21"/>
  <c r="P154" i="21"/>
  <c r="O182" i="21"/>
  <c r="L249" i="21"/>
  <c r="O249" i="21" s="1"/>
  <c r="K288" i="21"/>
  <c r="O329" i="21"/>
  <c r="P353" i="21"/>
  <c r="M351" i="21"/>
  <c r="P351" i="21" s="1"/>
  <c r="P410" i="21"/>
  <c r="M408" i="21"/>
  <c r="P408" i="21" s="1"/>
  <c r="N546" i="21"/>
  <c r="N547" i="21"/>
  <c r="K576" i="21"/>
  <c r="J559" i="21"/>
  <c r="J593" i="21"/>
  <c r="J592" i="21" s="1"/>
  <c r="O656" i="21"/>
  <c r="L655" i="21"/>
  <c r="I417" i="21"/>
  <c r="I592" i="21"/>
  <c r="K592" i="21" s="1"/>
  <c r="K593" i="21"/>
  <c r="M263" i="21"/>
  <c r="P266" i="21"/>
  <c r="M264" i="21"/>
  <c r="O420" i="21"/>
  <c r="O468" i="21"/>
  <c r="P545" i="21"/>
  <c r="O630" i="21"/>
  <c r="M631" i="21"/>
  <c r="M629" i="21" s="1"/>
  <c r="P634" i="21"/>
  <c r="M632" i="21"/>
  <c r="P632" i="21" s="1"/>
  <c r="L737" i="21"/>
  <c r="O737" i="21" s="1"/>
  <c r="O739" i="21"/>
  <c r="P755" i="21"/>
  <c r="M754" i="21"/>
  <c r="P754" i="21" s="1"/>
  <c r="O806" i="21"/>
  <c r="L805" i="21"/>
  <c r="O805" i="21" s="1"/>
  <c r="I112" i="19"/>
  <c r="K112" i="19" s="1"/>
  <c r="K340" i="20"/>
  <c r="K197" i="21"/>
  <c r="P336" i="21"/>
  <c r="M334" i="21"/>
  <c r="P334" i="21" s="1"/>
  <c r="K374" i="21"/>
  <c r="L446" i="21"/>
  <c r="O449" i="21"/>
  <c r="M449" i="21"/>
  <c r="L447" i="21"/>
  <c r="N470" i="21"/>
  <c r="N469" i="21"/>
  <c r="K568" i="21"/>
  <c r="N631" i="21"/>
  <c r="N632" i="21"/>
  <c r="N655" i="21"/>
  <c r="O787" i="21"/>
  <c r="K701" i="19"/>
  <c r="M26" i="20"/>
  <c r="M16" i="20" s="1"/>
  <c r="I260" i="21"/>
  <c r="K260" i="21" s="1"/>
  <c r="K271" i="21"/>
  <c r="O285" i="21"/>
  <c r="L283" i="21"/>
  <c r="O283" i="21" s="1"/>
  <c r="M317" i="21"/>
  <c r="P320" i="21"/>
  <c r="M318" i="21"/>
  <c r="P318" i="21" s="1"/>
  <c r="J364" i="21"/>
  <c r="K365" i="21"/>
  <c r="P445" i="21"/>
  <c r="N446" i="21"/>
  <c r="N444" i="21" s="1"/>
  <c r="N447" i="21"/>
  <c r="N467" i="21"/>
  <c r="O688" i="21"/>
  <c r="L770" i="21"/>
  <c r="O770" i="21" s="1"/>
  <c r="O772" i="21"/>
  <c r="K669" i="21"/>
  <c r="L687" i="21"/>
  <c r="P788" i="21"/>
  <c r="N807" i="21"/>
  <c r="N805" i="21" s="1"/>
  <c r="K244" i="21"/>
  <c r="L267" i="21"/>
  <c r="O267" i="21" s="1"/>
  <c r="M283" i="21"/>
  <c r="P283" i="21" s="1"/>
  <c r="I297" i="21"/>
  <c r="K297" i="21" s="1"/>
  <c r="L321" i="21"/>
  <c r="O321" i="21" s="1"/>
  <c r="L331" i="21"/>
  <c r="O331" i="21" s="1"/>
  <c r="L348" i="21"/>
  <c r="O348" i="21" s="1"/>
  <c r="N392" i="21"/>
  <c r="O394" i="21"/>
  <c r="N422" i="21"/>
  <c r="O422" i="21" s="1"/>
  <c r="O424" i="21"/>
  <c r="K462" i="21"/>
  <c r="L470" i="21"/>
  <c r="O470" i="21" s="1"/>
  <c r="M472" i="21"/>
  <c r="P525" i="21"/>
  <c r="O634" i="21"/>
  <c r="N658" i="21"/>
  <c r="O660" i="21"/>
  <c r="M690" i="21"/>
  <c r="M267" i="21"/>
  <c r="P267" i="21" s="1"/>
  <c r="M321" i="21"/>
  <c r="P321" i="21" s="1"/>
  <c r="M331" i="21"/>
  <c r="P331" i="21" s="1"/>
  <c r="M348" i="21"/>
  <c r="P348" i="21" s="1"/>
  <c r="I434" i="21"/>
  <c r="O333" i="21"/>
  <c r="O350" i="21"/>
  <c r="O472" i="21"/>
  <c r="L502" i="21"/>
  <c r="O502" i="21" s="1"/>
  <c r="M805" i="21"/>
  <c r="P805" i="21" s="1"/>
  <c r="M502" i="21"/>
  <c r="P502" i="21" s="1"/>
  <c r="L639" i="21"/>
  <c r="O639" i="21" s="1"/>
  <c r="M55" i="20"/>
  <c r="M53" i="20" s="1"/>
  <c r="L90" i="20"/>
  <c r="L88" i="20" s="1"/>
  <c r="M138" i="20"/>
  <c r="P138" i="20" s="1"/>
  <c r="L167" i="20"/>
  <c r="L165" i="20" s="1"/>
  <c r="K190" i="20"/>
  <c r="K309" i="20"/>
  <c r="L391" i="20"/>
  <c r="O96" i="20"/>
  <c r="N122" i="20"/>
  <c r="M183" i="20"/>
  <c r="M181" i="20" s="1"/>
  <c r="P394" i="20"/>
  <c r="P397" i="20"/>
  <c r="O641" i="20"/>
  <c r="L657" i="20"/>
  <c r="L655" i="20" s="1"/>
  <c r="O655" i="20" s="1"/>
  <c r="P93" i="20"/>
  <c r="O173" i="20"/>
  <c r="K593" i="20"/>
  <c r="K355" i="19"/>
  <c r="N391" i="19"/>
  <c r="N389" i="19" s="1"/>
  <c r="L229" i="20"/>
  <c r="N317" i="20"/>
  <c r="N315" i="20" s="1"/>
  <c r="L334" i="20"/>
  <c r="O334" i="20" s="1"/>
  <c r="I364" i="20"/>
  <c r="K364" i="20" s="1"/>
  <c r="L658" i="20"/>
  <c r="O658" i="20" s="1"/>
  <c r="L217" i="20"/>
  <c r="O217" i="20" s="1"/>
  <c r="K823" i="19"/>
  <c r="K827" i="19"/>
  <c r="M68" i="20"/>
  <c r="P68" i="20" s="1"/>
  <c r="N300" i="20"/>
  <c r="N298" i="20" s="1"/>
  <c r="L688" i="20"/>
  <c r="K359" i="19"/>
  <c r="J327" i="20"/>
  <c r="K327" i="20" s="1"/>
  <c r="M391" i="20"/>
  <c r="P391" i="20" s="1"/>
  <c r="N404" i="19"/>
  <c r="N402" i="19" s="1"/>
  <c r="K821" i="19"/>
  <c r="N183" i="20"/>
  <c r="N181" i="20" s="1"/>
  <c r="P186" i="20"/>
  <c r="J364" i="20"/>
  <c r="O479" i="20"/>
  <c r="K592" i="20"/>
  <c r="L469" i="20"/>
  <c r="L467" i="20" s="1"/>
  <c r="O467" i="20" s="1"/>
  <c r="L631" i="8"/>
  <c r="O631" i="8" s="1"/>
  <c r="L632" i="20"/>
  <c r="O632" i="20" s="1"/>
  <c r="O634" i="20"/>
  <c r="L631" i="20"/>
  <c r="O631" i="20" s="1"/>
  <c r="K800" i="20"/>
  <c r="I785" i="20"/>
  <c r="K785" i="20" s="1"/>
  <c r="I208" i="15"/>
  <c r="K208" i="15" s="1"/>
  <c r="N167" i="20"/>
  <c r="N165" i="20" s="1"/>
  <c r="L263" i="19"/>
  <c r="L261" i="19" s="1"/>
  <c r="O58" i="20"/>
  <c r="L230" i="20"/>
  <c r="M334" i="20"/>
  <c r="P334" i="20" s="1"/>
  <c r="M135" i="19"/>
  <c r="P135" i="19" s="1"/>
  <c r="K362" i="19"/>
  <c r="K369" i="19"/>
  <c r="P46" i="20"/>
  <c r="N56" i="20"/>
  <c r="P56" i="20" s="1"/>
  <c r="P58" i="20"/>
  <c r="K78" i="20"/>
  <c r="N90" i="20"/>
  <c r="N88" i="20" s="1"/>
  <c r="L151" i="20"/>
  <c r="O154" i="20"/>
  <c r="P157" i="20"/>
  <c r="N263" i="20"/>
  <c r="N261" i="20" s="1"/>
  <c r="P266" i="20"/>
  <c r="N330" i="20"/>
  <c r="N328" i="20" s="1"/>
  <c r="M408" i="20"/>
  <c r="P408" i="20" s="1"/>
  <c r="P410" i="20"/>
  <c r="K651" i="20"/>
  <c r="I628" i="20"/>
  <c r="K628" i="20" s="1"/>
  <c r="I197" i="8"/>
  <c r="K197" i="8" s="1"/>
  <c r="L151" i="17"/>
  <c r="L149" i="17" s="1"/>
  <c r="O157" i="17"/>
  <c r="L187" i="19"/>
  <c r="O187" i="19" s="1"/>
  <c r="L231" i="19"/>
  <c r="L228" i="19"/>
  <c r="K370" i="19"/>
  <c r="L23" i="20"/>
  <c r="L21" i="20" s="1"/>
  <c r="M43" i="20"/>
  <c r="M41" i="20" s="1"/>
  <c r="L59" i="20"/>
  <c r="O59" i="20" s="1"/>
  <c r="I77" i="20"/>
  <c r="I86" i="20"/>
  <c r="K86" i="20" s="1"/>
  <c r="K216" i="20"/>
  <c r="M279" i="20"/>
  <c r="N304" i="20"/>
  <c r="K825" i="20"/>
  <c r="K176" i="20"/>
  <c r="I276" i="20"/>
  <c r="K276" i="20" s="1"/>
  <c r="P303" i="20"/>
  <c r="I559" i="19"/>
  <c r="K559" i="19" s="1"/>
  <c r="O74" i="20"/>
  <c r="N152" i="20"/>
  <c r="I164" i="20"/>
  <c r="K164" i="20" s="1"/>
  <c r="O184" i="20"/>
  <c r="K193" i="20"/>
  <c r="P407" i="20"/>
  <c r="M405" i="20"/>
  <c r="P405" i="20" s="1"/>
  <c r="O410" i="20"/>
  <c r="K822" i="20"/>
  <c r="M263" i="20"/>
  <c r="M261" i="20" s="1"/>
  <c r="I208" i="10"/>
  <c r="K208" i="10" s="1"/>
  <c r="O49" i="19"/>
  <c r="K309" i="19"/>
  <c r="M301" i="20"/>
  <c r="P301" i="20" s="1"/>
  <c r="K462" i="20"/>
  <c r="I76" i="18"/>
  <c r="K76" i="18" s="1"/>
  <c r="K369" i="18"/>
  <c r="L555" i="19"/>
  <c r="O555" i="19" s="1"/>
  <c r="I785" i="19"/>
  <c r="K785" i="19" s="1"/>
  <c r="K828" i="19"/>
  <c r="L249" i="20"/>
  <c r="O249" i="20" s="1"/>
  <c r="N279" i="20"/>
  <c r="N277" i="20" s="1"/>
  <c r="I559" i="20"/>
  <c r="K559" i="20" s="1"/>
  <c r="O690" i="20"/>
  <c r="J722" i="20"/>
  <c r="K722" i="20" s="1"/>
  <c r="K821" i="20"/>
  <c r="K827" i="20"/>
  <c r="P350" i="20"/>
  <c r="K700" i="20"/>
  <c r="K826" i="20"/>
  <c r="P35" i="20"/>
  <c r="M34" i="20"/>
  <c r="P34" i="20" s="1"/>
  <c r="O89" i="20"/>
  <c r="I143" i="20"/>
  <c r="K145" i="20"/>
  <c r="O166" i="20"/>
  <c r="I233" i="20"/>
  <c r="K233" i="20" s="1"/>
  <c r="K244" i="20"/>
  <c r="N408" i="20"/>
  <c r="N404" i="20"/>
  <c r="N402" i="20" s="1"/>
  <c r="O424" i="20"/>
  <c r="N422" i="20"/>
  <c r="N421" i="20"/>
  <c r="N419" i="20" s="1"/>
  <c r="N33" i="20"/>
  <c r="O791" i="16"/>
  <c r="O46" i="19"/>
  <c r="M55" i="19"/>
  <c r="M53" i="19" s="1"/>
  <c r="K381" i="19"/>
  <c r="I442" i="19"/>
  <c r="K442" i="19" s="1"/>
  <c r="O32" i="20"/>
  <c r="L29" i="20"/>
  <c r="N34" i="20"/>
  <c r="M121" i="20"/>
  <c r="P124" i="20"/>
  <c r="M23" i="20"/>
  <c r="M122" i="20"/>
  <c r="P122" i="20" s="1"/>
  <c r="L238" i="20"/>
  <c r="P333" i="20"/>
  <c r="M331" i="20"/>
  <c r="P331" i="20" s="1"/>
  <c r="M330" i="20"/>
  <c r="M328" i="20" s="1"/>
  <c r="N351" i="20"/>
  <c r="O351" i="20" s="1"/>
  <c r="N347" i="20"/>
  <c r="N345" i="20" s="1"/>
  <c r="P353" i="20"/>
  <c r="N469" i="20"/>
  <c r="N467" i="20" s="1"/>
  <c r="O127" i="18"/>
  <c r="N134" i="19"/>
  <c r="N132" i="19" s="1"/>
  <c r="I364" i="19"/>
  <c r="O49" i="20"/>
  <c r="L47" i="20"/>
  <c r="O47" i="20" s="1"/>
  <c r="L26" i="20"/>
  <c r="L68" i="20"/>
  <c r="O68" i="20" s="1"/>
  <c r="O71" i="20"/>
  <c r="L69" i="20"/>
  <c r="O69" i="20" s="1"/>
  <c r="P96" i="20"/>
  <c r="M94" i="20"/>
  <c r="P94" i="20" s="1"/>
  <c r="M151" i="20"/>
  <c r="P154" i="20"/>
  <c r="M152" i="20"/>
  <c r="P152" i="20" s="1"/>
  <c r="P173" i="20"/>
  <c r="M171" i="20"/>
  <c r="P171" i="20" s="1"/>
  <c r="O323" i="20"/>
  <c r="L321" i="20"/>
  <c r="O321" i="20" s="1"/>
  <c r="L525" i="20"/>
  <c r="O525" i="20" s="1"/>
  <c r="O528" i="20"/>
  <c r="L526" i="20"/>
  <c r="O526" i="20" s="1"/>
  <c r="L33" i="20"/>
  <c r="O535" i="20"/>
  <c r="L533" i="20"/>
  <c r="O533" i="20" s="1"/>
  <c r="I130" i="18"/>
  <c r="K130" i="18" s="1"/>
  <c r="O157" i="19"/>
  <c r="N300" i="19"/>
  <c r="N298" i="19" s="1"/>
  <c r="L422" i="19"/>
  <c r="O422" i="19" s="1"/>
  <c r="O479" i="19"/>
  <c r="L36" i="19"/>
  <c r="O36" i="19" s="1"/>
  <c r="M15" i="20"/>
  <c r="P67" i="20"/>
  <c r="N26" i="20"/>
  <c r="N72" i="20"/>
  <c r="M90" i="20"/>
  <c r="M167" i="20"/>
  <c r="O182" i="20"/>
  <c r="O269" i="20"/>
  <c r="L263" i="20"/>
  <c r="L267" i="20"/>
  <c r="O267" i="20" s="1"/>
  <c r="O299" i="20"/>
  <c r="K723" i="17"/>
  <c r="K98" i="19"/>
  <c r="K174" i="19"/>
  <c r="N330" i="19"/>
  <c r="N328" i="19" s="1"/>
  <c r="O353" i="19"/>
  <c r="K378" i="19"/>
  <c r="L391" i="19"/>
  <c r="L546" i="19"/>
  <c r="O546" i="19" s="1"/>
  <c r="K822" i="19"/>
  <c r="O12" i="20"/>
  <c r="L9" i="20"/>
  <c r="P61" i="20"/>
  <c r="M59" i="20"/>
  <c r="P59" i="20" s="1"/>
  <c r="O140" i="20"/>
  <c r="L138" i="20"/>
  <c r="O138" i="20" s="1"/>
  <c r="K437" i="20"/>
  <c r="J433" i="20"/>
  <c r="J417" i="20" s="1"/>
  <c r="M444" i="20"/>
  <c r="P444" i="20" s="1"/>
  <c r="P446" i="20"/>
  <c r="I522" i="20"/>
  <c r="K522" i="20" s="1"/>
  <c r="K537" i="20"/>
  <c r="M546" i="20"/>
  <c r="M547" i="20"/>
  <c r="P547" i="20" s="1"/>
  <c r="P549" i="20"/>
  <c r="O157" i="18"/>
  <c r="L279" i="18"/>
  <c r="L277" i="18" s="1"/>
  <c r="O397" i="19"/>
  <c r="O19" i="20"/>
  <c r="L43" i="20"/>
  <c r="N43" i="20"/>
  <c r="N41" i="20" s="1"/>
  <c r="N23" i="20"/>
  <c r="O46" i="20"/>
  <c r="N44" i="20"/>
  <c r="O44" i="20" s="1"/>
  <c r="N68" i="20"/>
  <c r="N66" i="20" s="1"/>
  <c r="I148" i="20"/>
  <c r="K148" i="20" s="1"/>
  <c r="K159" i="20"/>
  <c r="L209" i="20"/>
  <c r="O209" i="20" s="1"/>
  <c r="N392" i="20"/>
  <c r="N391" i="20"/>
  <c r="N389" i="20" s="1"/>
  <c r="O431" i="20"/>
  <c r="L429" i="20"/>
  <c r="O429" i="20" s="1"/>
  <c r="L36" i="20"/>
  <c r="O36" i="20" s="1"/>
  <c r="L421" i="20"/>
  <c r="L419" i="20" s="1"/>
  <c r="O184" i="19"/>
  <c r="P320" i="20"/>
  <c r="M318" i="20"/>
  <c r="P318" i="20" s="1"/>
  <c r="M317" i="20"/>
  <c r="P317" i="20" s="1"/>
  <c r="P346" i="20"/>
  <c r="I233" i="18"/>
  <c r="K233" i="18" s="1"/>
  <c r="P280" i="18"/>
  <c r="L525" i="18"/>
  <c r="O525" i="18" s="1"/>
  <c r="L90" i="19"/>
  <c r="L88" i="19" s="1"/>
  <c r="M424" i="19"/>
  <c r="M421" i="19" s="1"/>
  <c r="P421" i="19" s="1"/>
  <c r="N134" i="20"/>
  <c r="N132" i="20" s="1"/>
  <c r="J143" i="20"/>
  <c r="J131" i="20" s="1"/>
  <c r="K144" i="20"/>
  <c r="I237" i="20"/>
  <c r="L317" i="20"/>
  <c r="N544" i="20"/>
  <c r="L55" i="20"/>
  <c r="L330" i="20"/>
  <c r="O333" i="20"/>
  <c r="M419" i="20"/>
  <c r="O557" i="20"/>
  <c r="L555" i="20"/>
  <c r="O555" i="20" s="1"/>
  <c r="I208" i="20"/>
  <c r="K208" i="20" s="1"/>
  <c r="N227" i="20"/>
  <c r="J288" i="20"/>
  <c r="J275" i="20" s="1"/>
  <c r="I275" i="20"/>
  <c r="K275" i="20" s="1"/>
  <c r="P424" i="20"/>
  <c r="O549" i="20"/>
  <c r="N547" i="20"/>
  <c r="N546" i="20"/>
  <c r="N685" i="20"/>
  <c r="P690" i="20"/>
  <c r="M29" i="20"/>
  <c r="O35" i="20"/>
  <c r="M47" i="20"/>
  <c r="P47" i="20" s="1"/>
  <c r="M69" i="20"/>
  <c r="P69" i="20" s="1"/>
  <c r="K79" i="20"/>
  <c r="L91" i="20"/>
  <c r="L125" i="20"/>
  <c r="O125" i="20" s="1"/>
  <c r="L155" i="20"/>
  <c r="O155" i="20" s="1"/>
  <c r="L168" i="20"/>
  <c r="P184" i="20"/>
  <c r="O186" i="20"/>
  <c r="M267" i="20"/>
  <c r="P267" i="20" s="1"/>
  <c r="K271" i="20"/>
  <c r="K288" i="20"/>
  <c r="O306" i="20"/>
  <c r="L331" i="20"/>
  <c r="O331" i="20" s="1"/>
  <c r="K365" i="20"/>
  <c r="O397" i="20"/>
  <c r="L546" i="20"/>
  <c r="O546" i="20" s="1"/>
  <c r="P755" i="20"/>
  <c r="M754" i="20"/>
  <c r="P754" i="20" s="1"/>
  <c r="L347" i="20"/>
  <c r="O350" i="20"/>
  <c r="M422" i="20"/>
  <c r="K672" i="20"/>
  <c r="K669" i="20"/>
  <c r="K674" i="20"/>
  <c r="I654" i="20"/>
  <c r="K654" i="20" s="1"/>
  <c r="M687" i="20"/>
  <c r="M685" i="20" s="1"/>
  <c r="P71" i="20"/>
  <c r="N91" i="20"/>
  <c r="P91" i="20" s="1"/>
  <c r="O93" i="20"/>
  <c r="I112" i="20"/>
  <c r="K112" i="20" s="1"/>
  <c r="N168" i="20"/>
  <c r="P168" i="20" s="1"/>
  <c r="O170" i="20"/>
  <c r="O189" i="20"/>
  <c r="L198" i="20"/>
  <c r="O198" i="20" s="1"/>
  <c r="L300" i="20"/>
  <c r="O300" i="20" s="1"/>
  <c r="M321" i="20"/>
  <c r="P321" i="20" s="1"/>
  <c r="K325" i="20"/>
  <c r="P329" i="20"/>
  <c r="O353" i="20"/>
  <c r="J537" i="20"/>
  <c r="J522" i="20" s="1"/>
  <c r="K539" i="20"/>
  <c r="O630" i="20"/>
  <c r="O787" i="20"/>
  <c r="L183" i="20"/>
  <c r="O266" i="20"/>
  <c r="L404" i="20"/>
  <c r="O404" i="20" s="1"/>
  <c r="L405" i="20"/>
  <c r="O405" i="20" s="1"/>
  <c r="I442" i="20"/>
  <c r="K442" i="20" s="1"/>
  <c r="K460" i="20"/>
  <c r="N756" i="20"/>
  <c r="N754" i="20" s="1"/>
  <c r="N757" i="20"/>
  <c r="N688" i="20"/>
  <c r="P688" i="20" s="1"/>
  <c r="P788" i="20"/>
  <c r="N807" i="20"/>
  <c r="N805" i="20" s="1"/>
  <c r="L502" i="20"/>
  <c r="O502" i="20" s="1"/>
  <c r="L687" i="20"/>
  <c r="L754" i="20"/>
  <c r="O754" i="20" s="1"/>
  <c r="N687" i="20"/>
  <c r="L422" i="20"/>
  <c r="L446" i="20"/>
  <c r="L454" i="20"/>
  <c r="O454" i="20" s="1"/>
  <c r="M467" i="20"/>
  <c r="P467" i="20" s="1"/>
  <c r="L547" i="20"/>
  <c r="O547" i="20" s="1"/>
  <c r="L805" i="20"/>
  <c r="O805" i="20" s="1"/>
  <c r="L737" i="20"/>
  <c r="O737" i="20" s="1"/>
  <c r="L770" i="20"/>
  <c r="O770" i="20" s="1"/>
  <c r="M805" i="20"/>
  <c r="P805" i="20" s="1"/>
  <c r="K340" i="18"/>
  <c r="M90" i="19"/>
  <c r="K159" i="19"/>
  <c r="P189" i="19"/>
  <c r="P348" i="19"/>
  <c r="J721" i="19"/>
  <c r="K721" i="19" s="1"/>
  <c r="N90" i="19"/>
  <c r="N88" i="19" s="1"/>
  <c r="M267" i="19"/>
  <c r="P267" i="19" s="1"/>
  <c r="K338" i="19"/>
  <c r="K537" i="19"/>
  <c r="K593" i="19"/>
  <c r="M424" i="18"/>
  <c r="M422" i="18" s="1"/>
  <c r="L68" i="19"/>
  <c r="O68" i="19" s="1"/>
  <c r="M152" i="19"/>
  <c r="P170" i="19"/>
  <c r="L183" i="19"/>
  <c r="L181" i="19" s="1"/>
  <c r="M330" i="19"/>
  <c r="K824" i="19"/>
  <c r="N68" i="19"/>
  <c r="N66" i="19" s="1"/>
  <c r="L171" i="19"/>
  <c r="O171" i="19" s="1"/>
  <c r="M183" i="19"/>
  <c r="M181" i="19" s="1"/>
  <c r="L238" i="19"/>
  <c r="O238" i="19" s="1"/>
  <c r="O320" i="19"/>
  <c r="N347" i="19"/>
  <c r="N345" i="19" s="1"/>
  <c r="K372" i="19"/>
  <c r="K825" i="19"/>
  <c r="O127" i="19"/>
  <c r="O168" i="19"/>
  <c r="K372" i="16"/>
  <c r="P93" i="19"/>
  <c r="P127" i="19"/>
  <c r="K193" i="19"/>
  <c r="I260" i="19"/>
  <c r="K260" i="19" s="1"/>
  <c r="J327" i="19"/>
  <c r="K327" i="19" s="1"/>
  <c r="L249" i="19"/>
  <c r="O249" i="19" s="1"/>
  <c r="K360" i="19"/>
  <c r="K720" i="19"/>
  <c r="K338" i="17"/>
  <c r="M155" i="18"/>
  <c r="P155" i="18" s="1"/>
  <c r="P170" i="18"/>
  <c r="K362" i="18"/>
  <c r="L454" i="18"/>
  <c r="O454" i="18" s="1"/>
  <c r="N55" i="19"/>
  <c r="N53" i="19" s="1"/>
  <c r="O58" i="19"/>
  <c r="P61" i="19"/>
  <c r="L69" i="19"/>
  <c r="O69" i="19" s="1"/>
  <c r="O93" i="19"/>
  <c r="M122" i="19"/>
  <c r="P122" i="19" s="1"/>
  <c r="I130" i="19"/>
  <c r="K130" i="19" s="1"/>
  <c r="K145" i="19"/>
  <c r="P157" i="19"/>
  <c r="P333" i="19"/>
  <c r="L429" i="19"/>
  <c r="O429" i="19" s="1"/>
  <c r="O431" i="19"/>
  <c r="L348" i="19"/>
  <c r="O348" i="19" s="1"/>
  <c r="O350" i="19"/>
  <c r="I130" i="16"/>
  <c r="K130" i="16" s="1"/>
  <c r="N44" i="19"/>
  <c r="O44" i="19" s="1"/>
  <c r="O56" i="19"/>
  <c r="O74" i="19"/>
  <c r="M91" i="19"/>
  <c r="P91" i="19" s="1"/>
  <c r="I216" i="19"/>
  <c r="K216" i="19" s="1"/>
  <c r="M280" i="19"/>
  <c r="P280" i="19" s="1"/>
  <c r="M279" i="19"/>
  <c r="P279" i="19" s="1"/>
  <c r="K288" i="19"/>
  <c r="J288" i="19"/>
  <c r="J275" i="19" s="1"/>
  <c r="L321" i="19"/>
  <c r="O321" i="19" s="1"/>
  <c r="O323" i="19"/>
  <c r="L347" i="19"/>
  <c r="L345" i="19" s="1"/>
  <c r="P350" i="19"/>
  <c r="K651" i="19"/>
  <c r="L789" i="19"/>
  <c r="O789" i="19" s="1"/>
  <c r="L788" i="19"/>
  <c r="O788" i="19" s="1"/>
  <c r="I197" i="13"/>
  <c r="K197" i="13" s="1"/>
  <c r="I297" i="13"/>
  <c r="K297" i="13" s="1"/>
  <c r="O333" i="17"/>
  <c r="K360" i="17"/>
  <c r="I364" i="17"/>
  <c r="K378" i="17"/>
  <c r="J327" i="18"/>
  <c r="K327" i="18" s="1"/>
  <c r="I434" i="18"/>
  <c r="I418" i="18" s="1"/>
  <c r="K418" i="18" s="1"/>
  <c r="L36" i="18"/>
  <c r="O36" i="18" s="1"/>
  <c r="P71" i="19"/>
  <c r="M94" i="19"/>
  <c r="P94" i="19" s="1"/>
  <c r="L134" i="19"/>
  <c r="O134" i="19" s="1"/>
  <c r="P301" i="19"/>
  <c r="P323" i="19"/>
  <c r="M321" i="19"/>
  <c r="P321" i="19" s="1"/>
  <c r="M331" i="19"/>
  <c r="P331" i="19" s="1"/>
  <c r="L404" i="19"/>
  <c r="L405" i="19"/>
  <c r="O405" i="19" s="1"/>
  <c r="I434" i="19"/>
  <c r="K434" i="19" s="1"/>
  <c r="L688" i="19"/>
  <c r="L687" i="19"/>
  <c r="L685" i="19" s="1"/>
  <c r="O685" i="19" s="1"/>
  <c r="O690" i="19"/>
  <c r="M690" i="19"/>
  <c r="O306" i="19"/>
  <c r="L304" i="19"/>
  <c r="O304" i="19" s="1"/>
  <c r="P168" i="19"/>
  <c r="K438" i="18"/>
  <c r="J785" i="18"/>
  <c r="M72" i="19"/>
  <c r="P72" i="19" s="1"/>
  <c r="K116" i="19"/>
  <c r="M134" i="19"/>
  <c r="P134" i="19" s="1"/>
  <c r="M167" i="19"/>
  <c r="M165" i="19" s="1"/>
  <c r="I233" i="19"/>
  <c r="K233" i="19" s="1"/>
  <c r="O528" i="19"/>
  <c r="L526" i="19"/>
  <c r="O526" i="19" s="1"/>
  <c r="N183" i="17"/>
  <c r="N181" i="17" s="1"/>
  <c r="L26" i="19"/>
  <c r="O186" i="19"/>
  <c r="L198" i="19"/>
  <c r="O198" i="19" s="1"/>
  <c r="L209" i="19"/>
  <c r="O209" i="19" s="1"/>
  <c r="L230" i="19"/>
  <c r="N263" i="19"/>
  <c r="O269" i="19"/>
  <c r="N317" i="19"/>
  <c r="N315" i="19" s="1"/>
  <c r="N318" i="19"/>
  <c r="M334" i="19"/>
  <c r="P334" i="19" s="1"/>
  <c r="P336" i="19"/>
  <c r="O351" i="19"/>
  <c r="O535" i="19"/>
  <c r="K649" i="18"/>
  <c r="O186" i="17"/>
  <c r="L446" i="18"/>
  <c r="O446" i="18" s="1"/>
  <c r="P46" i="19"/>
  <c r="O91" i="19"/>
  <c r="O137" i="19"/>
  <c r="O140" i="19"/>
  <c r="O170" i="19"/>
  <c r="P173" i="19"/>
  <c r="P184" i="19"/>
  <c r="L300" i="19"/>
  <c r="L298" i="19" s="1"/>
  <c r="L317" i="19"/>
  <c r="O317" i="19" s="1"/>
  <c r="L331" i="19"/>
  <c r="O331" i="19" s="1"/>
  <c r="O333" i="19"/>
  <c r="O407" i="19"/>
  <c r="K647" i="19"/>
  <c r="J722" i="19"/>
  <c r="K722" i="19" s="1"/>
  <c r="K379" i="19"/>
  <c r="L408" i="19"/>
  <c r="O408" i="19" s="1"/>
  <c r="L421" i="19"/>
  <c r="L419" i="19" s="1"/>
  <c r="M408" i="19"/>
  <c r="P408" i="19" s="1"/>
  <c r="K723" i="19"/>
  <c r="O9" i="19"/>
  <c r="M171" i="17"/>
  <c r="P171" i="17" s="1"/>
  <c r="L122" i="18"/>
  <c r="O122" i="18" s="1"/>
  <c r="M134" i="18"/>
  <c r="P134" i="18" s="1"/>
  <c r="M183" i="18"/>
  <c r="M181" i="18" s="1"/>
  <c r="J364" i="18"/>
  <c r="I654" i="18"/>
  <c r="K674" i="18"/>
  <c r="J721" i="18"/>
  <c r="L788" i="18"/>
  <c r="L786" i="18" s="1"/>
  <c r="K821" i="18"/>
  <c r="O12" i="19"/>
  <c r="N26" i="19"/>
  <c r="N16" i="19" s="1"/>
  <c r="N14" i="19" s="1"/>
  <c r="N34" i="19"/>
  <c r="M34" i="19"/>
  <c r="P34" i="19" s="1"/>
  <c r="P36" i="19"/>
  <c r="N43" i="19"/>
  <c r="N41" i="19" s="1"/>
  <c r="N23" i="19"/>
  <c r="N21" i="19" s="1"/>
  <c r="M68" i="19"/>
  <c r="I76" i="19"/>
  <c r="L121" i="19"/>
  <c r="O121" i="19" s="1"/>
  <c r="I131" i="19"/>
  <c r="K131" i="19" s="1"/>
  <c r="O133" i="19"/>
  <c r="L138" i="19"/>
  <c r="O138" i="19" s="1"/>
  <c r="J143" i="19"/>
  <c r="J131" i="19" s="1"/>
  <c r="L151" i="19"/>
  <c r="O154" i="19"/>
  <c r="P166" i="19"/>
  <c r="M171" i="19"/>
  <c r="P171" i="19" s="1"/>
  <c r="N183" i="19"/>
  <c r="N181" i="19" s="1"/>
  <c r="N279" i="19"/>
  <c r="N277" i="19" s="1"/>
  <c r="N280" i="19"/>
  <c r="P285" i="19"/>
  <c r="P329" i="19"/>
  <c r="K340" i="19"/>
  <c r="P346" i="19"/>
  <c r="J433" i="19"/>
  <c r="J417" i="19" s="1"/>
  <c r="I433" i="19"/>
  <c r="N446" i="19"/>
  <c r="N444" i="19" s="1"/>
  <c r="N447" i="19"/>
  <c r="L631" i="19"/>
  <c r="O631" i="19" s="1"/>
  <c r="O641" i="19"/>
  <c r="L639" i="19"/>
  <c r="O639" i="19" s="1"/>
  <c r="K675" i="19"/>
  <c r="K674" i="19"/>
  <c r="I654" i="19"/>
  <c r="K654" i="19" s="1"/>
  <c r="K673" i="19"/>
  <c r="K672" i="19"/>
  <c r="K669" i="19"/>
  <c r="L283" i="16"/>
  <c r="O283" i="16" s="1"/>
  <c r="L229" i="17"/>
  <c r="I112" i="18"/>
  <c r="K112" i="18" s="1"/>
  <c r="N183" i="18"/>
  <c r="N181" i="18" s="1"/>
  <c r="P181" i="18" s="1"/>
  <c r="P303" i="18"/>
  <c r="L392" i="18"/>
  <c r="O392" i="18" s="1"/>
  <c r="O15" i="19"/>
  <c r="N12" i="19"/>
  <c r="M44" i="19"/>
  <c r="M47" i="19"/>
  <c r="P47" i="19" s="1"/>
  <c r="M26" i="19"/>
  <c r="M56" i="19"/>
  <c r="P56" i="19" s="1"/>
  <c r="K99" i="19"/>
  <c r="L167" i="19"/>
  <c r="L165" i="19" s="1"/>
  <c r="P186" i="19"/>
  <c r="P282" i="19"/>
  <c r="O336" i="19"/>
  <c r="L334" i="19"/>
  <c r="O334" i="19" s="1"/>
  <c r="L330" i="19"/>
  <c r="L328" i="19" s="1"/>
  <c r="N167" i="15"/>
  <c r="N165" i="15" s="1"/>
  <c r="K370" i="17"/>
  <c r="K824" i="17"/>
  <c r="N55" i="18"/>
  <c r="N53" i="18" s="1"/>
  <c r="K215" i="18"/>
  <c r="P282" i="18"/>
  <c r="P58" i="19"/>
  <c r="I77" i="19"/>
  <c r="N121" i="19"/>
  <c r="N119" i="19" s="1"/>
  <c r="N122" i="19"/>
  <c r="N151" i="19"/>
  <c r="N149" i="19" s="1"/>
  <c r="N152" i="19"/>
  <c r="O152" i="19" s="1"/>
  <c r="K164" i="19"/>
  <c r="P397" i="19"/>
  <c r="M395" i="19"/>
  <c r="P395" i="19" s="1"/>
  <c r="O449" i="19"/>
  <c r="M449" i="19"/>
  <c r="L446" i="19"/>
  <c r="K825" i="17"/>
  <c r="O93" i="18"/>
  <c r="I148" i="18"/>
  <c r="K148" i="18" s="1"/>
  <c r="N279" i="18"/>
  <c r="N277" i="18" s="1"/>
  <c r="L300" i="18"/>
  <c r="O300" i="18" s="1"/>
  <c r="K338" i="18"/>
  <c r="P32" i="19"/>
  <c r="O35" i="19"/>
  <c r="O67" i="19"/>
  <c r="L94" i="19"/>
  <c r="O94" i="19" s="1"/>
  <c r="L122" i="19"/>
  <c r="O122" i="19" s="1"/>
  <c r="P124" i="19"/>
  <c r="P154" i="19"/>
  <c r="N167" i="19"/>
  <c r="N165" i="19" s="1"/>
  <c r="K176" i="19"/>
  <c r="K197" i="19"/>
  <c r="L217" i="19"/>
  <c r="O217" i="19" s="1"/>
  <c r="M317" i="19"/>
  <c r="M318" i="19"/>
  <c r="P318" i="19" s="1"/>
  <c r="P320" i="19"/>
  <c r="P394" i="19"/>
  <c r="M391" i="19"/>
  <c r="P391" i="19" s="1"/>
  <c r="M392" i="19"/>
  <c r="P392" i="19" s="1"/>
  <c r="L447" i="19"/>
  <c r="O447" i="19" s="1"/>
  <c r="O61" i="19"/>
  <c r="L59" i="19"/>
  <c r="O59" i="19" s="1"/>
  <c r="L231" i="18"/>
  <c r="L280" i="18"/>
  <c r="O280" i="18" s="1"/>
  <c r="M23" i="19"/>
  <c r="L33" i="19"/>
  <c r="P306" i="19"/>
  <c r="M300" i="19"/>
  <c r="M351" i="19"/>
  <c r="P351" i="19" s="1"/>
  <c r="P353" i="19"/>
  <c r="M347" i="19"/>
  <c r="I248" i="3"/>
  <c r="K248" i="3" s="1"/>
  <c r="P12" i="19"/>
  <c r="M9" i="19"/>
  <c r="O456" i="19"/>
  <c r="L454" i="19"/>
  <c r="O454" i="19" s="1"/>
  <c r="O59" i="18"/>
  <c r="L209" i="18"/>
  <c r="O209" i="18" s="1"/>
  <c r="M300" i="18"/>
  <c r="P300" i="18" s="1"/>
  <c r="I443" i="18"/>
  <c r="K443" i="18" s="1"/>
  <c r="P19" i="19"/>
  <c r="P120" i="19"/>
  <c r="P140" i="19"/>
  <c r="M138" i="19"/>
  <c r="P138" i="19" s="1"/>
  <c r="P150" i="19"/>
  <c r="O285" i="19"/>
  <c r="L283" i="19"/>
  <c r="O283" i="19" s="1"/>
  <c r="O301" i="19"/>
  <c r="O329" i="19"/>
  <c r="O468" i="19"/>
  <c r="P545" i="19"/>
  <c r="K362" i="14"/>
  <c r="I559" i="14"/>
  <c r="K559" i="14" s="1"/>
  <c r="K708" i="17"/>
  <c r="M26" i="18"/>
  <c r="M24" i="18" s="1"/>
  <c r="K378" i="18"/>
  <c r="N19" i="19"/>
  <c r="M43" i="19"/>
  <c r="L43" i="19"/>
  <c r="L23" i="19"/>
  <c r="L55" i="19"/>
  <c r="N135" i="19"/>
  <c r="I208" i="19"/>
  <c r="K208" i="19" s="1"/>
  <c r="K215" i="19"/>
  <c r="O266" i="19"/>
  <c r="L264" i="19"/>
  <c r="O264" i="19" s="1"/>
  <c r="O282" i="19"/>
  <c r="L279" i="19"/>
  <c r="O303" i="19"/>
  <c r="J364" i="19"/>
  <c r="K365" i="19"/>
  <c r="M263" i="19"/>
  <c r="M264" i="19"/>
  <c r="P264" i="19" s="1"/>
  <c r="P278" i="19"/>
  <c r="M404" i="19"/>
  <c r="P445" i="19"/>
  <c r="N526" i="19"/>
  <c r="K725" i="19"/>
  <c r="N788" i="19"/>
  <c r="N789" i="19"/>
  <c r="K826" i="19"/>
  <c r="K374" i="19"/>
  <c r="N505" i="19"/>
  <c r="O549" i="19"/>
  <c r="M549" i="19"/>
  <c r="L547" i="19"/>
  <c r="O547" i="19" s="1"/>
  <c r="J592" i="19"/>
  <c r="K592" i="19" s="1"/>
  <c r="O630" i="19"/>
  <c r="N756" i="19"/>
  <c r="N754" i="19" s="1"/>
  <c r="N757" i="19"/>
  <c r="O316" i="19"/>
  <c r="L469" i="19"/>
  <c r="O469" i="19" s="1"/>
  <c r="M472" i="19"/>
  <c r="L470" i="19"/>
  <c r="O470" i="19" s="1"/>
  <c r="J537" i="19"/>
  <c r="J522" i="19" s="1"/>
  <c r="K538" i="19"/>
  <c r="P630" i="19"/>
  <c r="L229" i="19"/>
  <c r="O262" i="19"/>
  <c r="P266" i="19"/>
  <c r="K287" i="19"/>
  <c r="P303" i="19"/>
  <c r="M405" i="19"/>
  <c r="P405" i="19" s="1"/>
  <c r="N419" i="19"/>
  <c r="K466" i="19"/>
  <c r="L525" i="19"/>
  <c r="O525" i="19" s="1"/>
  <c r="P656" i="19"/>
  <c r="O806" i="19"/>
  <c r="L805" i="19"/>
  <c r="O805" i="19" s="1"/>
  <c r="K594" i="19"/>
  <c r="N655" i="19"/>
  <c r="O787" i="19"/>
  <c r="O346" i="19"/>
  <c r="I443" i="19"/>
  <c r="K443" i="19" s="1"/>
  <c r="K462" i="19"/>
  <c r="K628" i="19"/>
  <c r="O634" i="19"/>
  <c r="M634" i="19"/>
  <c r="L632" i="19"/>
  <c r="O632" i="19" s="1"/>
  <c r="L657" i="19"/>
  <c r="O660" i="19"/>
  <c r="M660" i="19"/>
  <c r="L658" i="19"/>
  <c r="O658" i="19" s="1"/>
  <c r="P755" i="19"/>
  <c r="M754" i="19"/>
  <c r="P754" i="19" s="1"/>
  <c r="O545" i="19"/>
  <c r="K649" i="19"/>
  <c r="N786" i="19"/>
  <c r="L502" i="19"/>
  <c r="O502" i="19" s="1"/>
  <c r="N688" i="19"/>
  <c r="P788" i="19"/>
  <c r="N807" i="19"/>
  <c r="N805" i="19" s="1"/>
  <c r="O394" i="19"/>
  <c r="L737" i="19"/>
  <c r="O737" i="19" s="1"/>
  <c r="L770" i="19"/>
  <c r="O770" i="19" s="1"/>
  <c r="M805" i="19"/>
  <c r="P805" i="19" s="1"/>
  <c r="P69" i="17"/>
  <c r="N347" i="17"/>
  <c r="N345" i="17" s="1"/>
  <c r="N43" i="18"/>
  <c r="N41" i="18" s="1"/>
  <c r="N90" i="18"/>
  <c r="N88" i="18" s="1"/>
  <c r="K111" i="18"/>
  <c r="O170" i="18"/>
  <c r="L301" i="18"/>
  <c r="O301" i="18" s="1"/>
  <c r="L304" i="18"/>
  <c r="O304" i="18" s="1"/>
  <c r="J537" i="18"/>
  <c r="J522" i="18" s="1"/>
  <c r="K522" i="18" s="1"/>
  <c r="K620" i="18"/>
  <c r="L687" i="18"/>
  <c r="O687" i="18" s="1"/>
  <c r="L230" i="17"/>
  <c r="L55" i="18"/>
  <c r="L68" i="18"/>
  <c r="L66" i="18" s="1"/>
  <c r="O350" i="18"/>
  <c r="K355" i="18"/>
  <c r="K372" i="18"/>
  <c r="O690" i="18"/>
  <c r="L23" i="17"/>
  <c r="L21" i="17" s="1"/>
  <c r="L231" i="17"/>
  <c r="P58" i="18"/>
  <c r="L151" i="18"/>
  <c r="O151" i="18" s="1"/>
  <c r="K379" i="18"/>
  <c r="K460" i="18"/>
  <c r="L33" i="18"/>
  <c r="O46" i="18"/>
  <c r="N121" i="18"/>
  <c r="N119" i="18" s="1"/>
  <c r="L135" i="18"/>
  <c r="O135" i="18" s="1"/>
  <c r="L134" i="18"/>
  <c r="O134" i="18" s="1"/>
  <c r="K823" i="18"/>
  <c r="I76" i="17"/>
  <c r="I64" i="17" s="1"/>
  <c r="K64" i="17" s="1"/>
  <c r="L230" i="18"/>
  <c r="O189" i="18"/>
  <c r="J288" i="18"/>
  <c r="J275" i="18" s="1"/>
  <c r="K275" i="18" s="1"/>
  <c r="K374" i="18"/>
  <c r="P140" i="18"/>
  <c r="L217" i="18"/>
  <c r="O217" i="18" s="1"/>
  <c r="K381" i="18"/>
  <c r="N134" i="17"/>
  <c r="N132" i="17" s="1"/>
  <c r="L23" i="18"/>
  <c r="L90" i="18"/>
  <c r="L121" i="18"/>
  <c r="L119" i="18" s="1"/>
  <c r="L446" i="17"/>
  <c r="L444" i="17" s="1"/>
  <c r="N23" i="18"/>
  <c r="N21" i="18" s="1"/>
  <c r="M68" i="18"/>
  <c r="M66" i="18" s="1"/>
  <c r="L238" i="18"/>
  <c r="O238" i="18" s="1"/>
  <c r="K360" i="18"/>
  <c r="P69" i="18"/>
  <c r="K80" i="18"/>
  <c r="L91" i="18"/>
  <c r="N125" i="18"/>
  <c r="P125" i="18" s="1"/>
  <c r="N151" i="18"/>
  <c r="N149" i="18" s="1"/>
  <c r="P336" i="18"/>
  <c r="M334" i="18"/>
  <c r="P334" i="18" s="1"/>
  <c r="K539" i="18"/>
  <c r="P353" i="18"/>
  <c r="N347" i="18"/>
  <c r="N345" i="18" s="1"/>
  <c r="P269" i="17"/>
  <c r="L56" i="18"/>
  <c r="O58" i="18"/>
  <c r="O61" i="18"/>
  <c r="P71" i="18"/>
  <c r="I77" i="18"/>
  <c r="N91" i="18"/>
  <c r="P91" i="18" s="1"/>
  <c r="P93" i="18"/>
  <c r="O154" i="18"/>
  <c r="O173" i="18"/>
  <c r="L264" i="18"/>
  <c r="O266" i="18"/>
  <c r="M348" i="18"/>
  <c r="M347" i="18"/>
  <c r="M345" i="18" s="1"/>
  <c r="M405" i="18"/>
  <c r="P405" i="18" s="1"/>
  <c r="M404" i="18"/>
  <c r="P404" i="18" s="1"/>
  <c r="K824" i="18"/>
  <c r="K80" i="17"/>
  <c r="L477" i="17"/>
  <c r="O477" i="17" s="1"/>
  <c r="M56" i="18"/>
  <c r="N68" i="18"/>
  <c r="N66" i="18" s="1"/>
  <c r="L72" i="18"/>
  <c r="O72" i="18" s="1"/>
  <c r="M171" i="18"/>
  <c r="P171" i="18" s="1"/>
  <c r="P266" i="18"/>
  <c r="M264" i="18"/>
  <c r="M263" i="18"/>
  <c r="M261" i="18" s="1"/>
  <c r="M318" i="18"/>
  <c r="M317" i="18"/>
  <c r="M315" i="18" s="1"/>
  <c r="K801" i="18"/>
  <c r="M267" i="18"/>
  <c r="P267" i="18" s="1"/>
  <c r="P269" i="18"/>
  <c r="M321" i="18"/>
  <c r="P321" i="18" s="1"/>
  <c r="P323" i="18"/>
  <c r="M138" i="17"/>
  <c r="P138" i="17" s="1"/>
  <c r="L228" i="17"/>
  <c r="P49" i="18"/>
  <c r="N56" i="18"/>
  <c r="I143" i="18"/>
  <c r="K143" i="18" s="1"/>
  <c r="M167" i="18"/>
  <c r="M165" i="18" s="1"/>
  <c r="M184" i="18"/>
  <c r="N263" i="18"/>
  <c r="N264" i="18"/>
  <c r="M331" i="18"/>
  <c r="M330" i="18"/>
  <c r="M328" i="18" s="1"/>
  <c r="K593" i="18"/>
  <c r="L334" i="18"/>
  <c r="O334" i="18" s="1"/>
  <c r="O336" i="18"/>
  <c r="N167" i="17"/>
  <c r="N165" i="17" s="1"/>
  <c r="L184" i="17"/>
  <c r="O184" i="17" s="1"/>
  <c r="K800" i="17"/>
  <c r="K822" i="17"/>
  <c r="P127" i="18"/>
  <c r="N167" i="18"/>
  <c r="N165" i="18" s="1"/>
  <c r="M472" i="18"/>
  <c r="M469" i="18" s="1"/>
  <c r="L469" i="18"/>
  <c r="O469" i="18" s="1"/>
  <c r="O472" i="18"/>
  <c r="K576" i="18"/>
  <c r="I559" i="18"/>
  <c r="I543" i="18" s="1"/>
  <c r="K543" i="18" s="1"/>
  <c r="K828" i="18"/>
  <c r="I260" i="18"/>
  <c r="K260" i="18" s="1"/>
  <c r="P333" i="18"/>
  <c r="P350" i="18"/>
  <c r="K561" i="18"/>
  <c r="M660" i="18"/>
  <c r="M657" i="18" s="1"/>
  <c r="K672" i="18"/>
  <c r="M791" i="18"/>
  <c r="M788" i="18" s="1"/>
  <c r="P788" i="18" s="1"/>
  <c r="K822" i="18"/>
  <c r="K208" i="18"/>
  <c r="L229" i="18"/>
  <c r="K577" i="18"/>
  <c r="J722" i="18"/>
  <c r="P186" i="18"/>
  <c r="K325" i="18"/>
  <c r="O660" i="18"/>
  <c r="O791" i="18"/>
  <c r="M187" i="18"/>
  <c r="P187" i="18" s="1"/>
  <c r="N348" i="18"/>
  <c r="L658" i="18"/>
  <c r="O658" i="18" s="1"/>
  <c r="K675" i="18"/>
  <c r="O282" i="18"/>
  <c r="K359" i="18"/>
  <c r="K827" i="18"/>
  <c r="P15" i="18"/>
  <c r="M9" i="18"/>
  <c r="P96" i="18"/>
  <c r="M94" i="18"/>
  <c r="P94" i="18" s="1"/>
  <c r="M283" i="18"/>
  <c r="P283" i="18" s="1"/>
  <c r="P285" i="18"/>
  <c r="M279" i="18"/>
  <c r="L429" i="16"/>
  <c r="O429" i="16" s="1"/>
  <c r="N151" i="17"/>
  <c r="N149" i="17" s="1"/>
  <c r="P331" i="17"/>
  <c r="J327" i="17"/>
  <c r="K327" i="17" s="1"/>
  <c r="K374" i="17"/>
  <c r="K620" i="17"/>
  <c r="M631" i="17"/>
  <c r="M629" i="17" s="1"/>
  <c r="K701" i="17"/>
  <c r="N19" i="18"/>
  <c r="O25" i="18"/>
  <c r="M29" i="18"/>
  <c r="O89" i="18"/>
  <c r="N134" i="18"/>
  <c r="N132" i="18" s="1"/>
  <c r="N135" i="18"/>
  <c r="M151" i="18"/>
  <c r="P154" i="18"/>
  <c r="M152" i="18"/>
  <c r="P152" i="18" s="1"/>
  <c r="K651" i="18"/>
  <c r="J628" i="18"/>
  <c r="K628" i="18" s="1"/>
  <c r="M43" i="18"/>
  <c r="M41" i="18" s="1"/>
  <c r="M23" i="18"/>
  <c r="M21" i="18" s="1"/>
  <c r="P71" i="17"/>
  <c r="L249" i="17"/>
  <c r="O249" i="17" s="1"/>
  <c r="L15" i="18"/>
  <c r="P19" i="18"/>
  <c r="O32" i="18"/>
  <c r="L29" i="18"/>
  <c r="L44" i="18"/>
  <c r="O44" i="18" s="1"/>
  <c r="P46" i="18"/>
  <c r="N47" i="18"/>
  <c r="N26" i="18"/>
  <c r="N16" i="18" s="1"/>
  <c r="O54" i="18"/>
  <c r="P67" i="18"/>
  <c r="P74" i="18"/>
  <c r="O96" i="18"/>
  <c r="P137" i="18"/>
  <c r="O182" i="18"/>
  <c r="M391" i="18"/>
  <c r="P391" i="18" s="1"/>
  <c r="I208" i="14"/>
  <c r="K208" i="14" s="1"/>
  <c r="I197" i="16"/>
  <c r="K197" i="16" s="1"/>
  <c r="M72" i="17"/>
  <c r="P72" i="17" s="1"/>
  <c r="L330" i="17"/>
  <c r="L328" i="17" s="1"/>
  <c r="K651" i="17"/>
  <c r="L12" i="18"/>
  <c r="M44" i="18"/>
  <c r="P44" i="18" s="1"/>
  <c r="M72" i="18"/>
  <c r="P72" i="18" s="1"/>
  <c r="L94" i="18"/>
  <c r="O94" i="18" s="1"/>
  <c r="K116" i="18"/>
  <c r="M121" i="18"/>
  <c r="P124" i="18"/>
  <c r="M122" i="18"/>
  <c r="P122" i="18" s="1"/>
  <c r="M135" i="18"/>
  <c r="P135" i="18" s="1"/>
  <c r="O166" i="18"/>
  <c r="N391" i="18"/>
  <c r="N389" i="18" s="1"/>
  <c r="N392" i="18"/>
  <c r="N687" i="18"/>
  <c r="N685" i="18" s="1"/>
  <c r="N688" i="18"/>
  <c r="N33" i="18"/>
  <c r="I237" i="16"/>
  <c r="K237" i="16" s="1"/>
  <c r="P157" i="16"/>
  <c r="I112" i="17"/>
  <c r="K112" i="17" s="1"/>
  <c r="L152" i="17"/>
  <c r="I314" i="17"/>
  <c r="K314" i="17" s="1"/>
  <c r="M330" i="17"/>
  <c r="M328" i="17" s="1"/>
  <c r="K379" i="17"/>
  <c r="L392" i="17"/>
  <c r="O392" i="17" s="1"/>
  <c r="O690" i="17"/>
  <c r="P22" i="18"/>
  <c r="P42" i="18"/>
  <c r="M55" i="18"/>
  <c r="J143" i="18"/>
  <c r="J131" i="18" s="1"/>
  <c r="L184" i="18"/>
  <c r="L183" i="18"/>
  <c r="O186" i="18"/>
  <c r="O316" i="18"/>
  <c r="P555" i="18"/>
  <c r="M545" i="18"/>
  <c r="P687" i="18"/>
  <c r="M685" i="18"/>
  <c r="P685" i="18" s="1"/>
  <c r="M263" i="16"/>
  <c r="M261" i="16" s="1"/>
  <c r="P280" i="16"/>
  <c r="L408" i="17"/>
  <c r="O408" i="17" s="1"/>
  <c r="O150" i="18"/>
  <c r="L168" i="18"/>
  <c r="L167" i="18"/>
  <c r="K176" i="18"/>
  <c r="I174" i="18"/>
  <c r="K370" i="18"/>
  <c r="M502" i="18"/>
  <c r="P502" i="18" s="1"/>
  <c r="P503" i="18"/>
  <c r="N15" i="18"/>
  <c r="P35" i="18"/>
  <c r="M34" i="18"/>
  <c r="P34" i="18" s="1"/>
  <c r="P61" i="18"/>
  <c r="M59" i="18"/>
  <c r="P59" i="18" s="1"/>
  <c r="O71" i="18"/>
  <c r="L69" i="18"/>
  <c r="O69" i="18" s="1"/>
  <c r="K87" i="18"/>
  <c r="M90" i="18"/>
  <c r="K99" i="18"/>
  <c r="L249" i="18"/>
  <c r="O249" i="18" s="1"/>
  <c r="L330" i="18"/>
  <c r="L331" i="18"/>
  <c r="O333" i="18"/>
  <c r="O407" i="18"/>
  <c r="L404" i="18"/>
  <c r="L405" i="18"/>
  <c r="O405" i="18" s="1"/>
  <c r="O49" i="18"/>
  <c r="L47" i="18"/>
  <c r="O47" i="18" s="1"/>
  <c r="L26" i="18"/>
  <c r="K821" i="16"/>
  <c r="L217" i="17"/>
  <c r="O217" i="17" s="1"/>
  <c r="K700" i="17"/>
  <c r="K823" i="17"/>
  <c r="K827" i="17"/>
  <c r="O19" i="18"/>
  <c r="L43" i="18"/>
  <c r="O120" i="18"/>
  <c r="O140" i="18"/>
  <c r="L138" i="18"/>
  <c r="O138" i="18" s="1"/>
  <c r="N317" i="18"/>
  <c r="P320" i="18"/>
  <c r="N318" i="18"/>
  <c r="O318" i="18" s="1"/>
  <c r="O320" i="18"/>
  <c r="I364" i="18"/>
  <c r="K365" i="18"/>
  <c r="M395" i="18"/>
  <c r="P395" i="18" s="1"/>
  <c r="P397" i="18"/>
  <c r="I216" i="18"/>
  <c r="K216" i="18" s="1"/>
  <c r="O269" i="18"/>
  <c r="L283" i="18"/>
  <c r="O283" i="18" s="1"/>
  <c r="M304" i="18"/>
  <c r="P304" i="18" s="1"/>
  <c r="P306" i="18"/>
  <c r="N330" i="18"/>
  <c r="K385" i="18"/>
  <c r="M392" i="18"/>
  <c r="P392" i="18" s="1"/>
  <c r="P394" i="18"/>
  <c r="N404" i="18"/>
  <c r="N402" i="18" s="1"/>
  <c r="L422" i="18"/>
  <c r="N421" i="18"/>
  <c r="N419" i="18" s="1"/>
  <c r="N422" i="18"/>
  <c r="O449" i="18"/>
  <c r="L447" i="18"/>
  <c r="O447" i="18" s="1"/>
  <c r="N505" i="18"/>
  <c r="O524" i="18"/>
  <c r="O528" i="18"/>
  <c r="N544" i="18"/>
  <c r="L754" i="18"/>
  <c r="O754" i="18" s="1"/>
  <c r="O789" i="18"/>
  <c r="M805" i="18"/>
  <c r="P805" i="18" s="1"/>
  <c r="P807" i="18"/>
  <c r="O323" i="18"/>
  <c r="P390" i="18"/>
  <c r="L395" i="18"/>
  <c r="O395" i="18" s="1"/>
  <c r="I433" i="18"/>
  <c r="K435" i="18"/>
  <c r="O479" i="18"/>
  <c r="L477" i="18"/>
  <c r="O477" i="18" s="1"/>
  <c r="N168" i="18"/>
  <c r="P168" i="18" s="1"/>
  <c r="N184" i="18"/>
  <c r="K193" i="18"/>
  <c r="L198" i="18"/>
  <c r="O198" i="18" s="1"/>
  <c r="K309" i="18"/>
  <c r="O353" i="18"/>
  <c r="P407" i="18"/>
  <c r="P420" i="18"/>
  <c r="L429" i="18"/>
  <c r="O429" i="18" s="1"/>
  <c r="O445" i="18"/>
  <c r="L533" i="18"/>
  <c r="O533" i="18" s="1"/>
  <c r="J592" i="18"/>
  <c r="K592" i="18" s="1"/>
  <c r="O686" i="18"/>
  <c r="L228" i="18"/>
  <c r="N300" i="18"/>
  <c r="N298" i="18" s="1"/>
  <c r="N351" i="18"/>
  <c r="O351" i="18" s="1"/>
  <c r="P403" i="18"/>
  <c r="L408" i="18"/>
  <c r="O408" i="18" s="1"/>
  <c r="P524" i="18"/>
  <c r="P771" i="18"/>
  <c r="M770" i="18"/>
  <c r="P770" i="18" s="1"/>
  <c r="N786" i="18"/>
  <c r="O278" i="18"/>
  <c r="L317" i="18"/>
  <c r="N331" i="18"/>
  <c r="L391" i="18"/>
  <c r="M408" i="18"/>
  <c r="P408" i="18" s="1"/>
  <c r="J433" i="18"/>
  <c r="J417" i="18" s="1"/>
  <c r="P630" i="18"/>
  <c r="L631" i="18"/>
  <c r="O634" i="18"/>
  <c r="M634" i="18"/>
  <c r="L632" i="18"/>
  <c r="O632" i="18" s="1"/>
  <c r="I237" i="18"/>
  <c r="K244" i="18"/>
  <c r="L421" i="18"/>
  <c r="L546" i="18"/>
  <c r="O549" i="18"/>
  <c r="M549" i="18"/>
  <c r="L547" i="18"/>
  <c r="O547" i="18" s="1"/>
  <c r="K647" i="18"/>
  <c r="O656" i="18"/>
  <c r="L655" i="18"/>
  <c r="O655" i="18" s="1"/>
  <c r="K669" i="18"/>
  <c r="J654" i="18"/>
  <c r="P738" i="18"/>
  <c r="M737" i="18"/>
  <c r="P737" i="18" s="1"/>
  <c r="K235" i="18"/>
  <c r="P299" i="18"/>
  <c r="L347" i="18"/>
  <c r="L348" i="18"/>
  <c r="O503" i="18"/>
  <c r="L502" i="18"/>
  <c r="O502" i="18" s="1"/>
  <c r="M528" i="18"/>
  <c r="L526" i="18"/>
  <c r="O526" i="18" s="1"/>
  <c r="I785" i="18"/>
  <c r="K803" i="18"/>
  <c r="L470" i="18"/>
  <c r="O470" i="18" s="1"/>
  <c r="L555" i="18"/>
  <c r="O555" i="18" s="1"/>
  <c r="L639" i="18"/>
  <c r="O639" i="18" s="1"/>
  <c r="L805" i="18"/>
  <c r="O805" i="18" s="1"/>
  <c r="N68" i="17"/>
  <c r="N66" i="17" s="1"/>
  <c r="O96" i="17"/>
  <c r="K115" i="17"/>
  <c r="M135" i="17"/>
  <c r="P135" i="17" s="1"/>
  <c r="O154" i="17"/>
  <c r="I174" i="17"/>
  <c r="K174" i="17" s="1"/>
  <c r="N187" i="17"/>
  <c r="J288" i="17"/>
  <c r="J275" i="17" s="1"/>
  <c r="K275" i="17" s="1"/>
  <c r="K362" i="17"/>
  <c r="L391" i="17"/>
  <c r="O391" i="17" s="1"/>
  <c r="M404" i="17"/>
  <c r="P404" i="17" s="1"/>
  <c r="M424" i="17"/>
  <c r="M422" i="17" s="1"/>
  <c r="P422" i="17" s="1"/>
  <c r="N317" i="16"/>
  <c r="N315" i="16" s="1"/>
  <c r="I364" i="16"/>
  <c r="K378" i="16"/>
  <c r="O61" i="17"/>
  <c r="O69" i="17"/>
  <c r="N90" i="17"/>
  <c r="N88" i="17" s="1"/>
  <c r="O127" i="17"/>
  <c r="I148" i="17"/>
  <c r="K148" i="17" s="1"/>
  <c r="L209" i="17"/>
  <c r="O209" i="17" s="1"/>
  <c r="P266" i="17"/>
  <c r="N391" i="17"/>
  <c r="N389" i="17" s="1"/>
  <c r="M405" i="17"/>
  <c r="P405" i="17" s="1"/>
  <c r="I433" i="17"/>
  <c r="I417" i="17" s="1"/>
  <c r="O660" i="17"/>
  <c r="J721" i="17"/>
  <c r="K721" i="17" s="1"/>
  <c r="O791" i="17"/>
  <c r="L55" i="17"/>
  <c r="L53" i="17" s="1"/>
  <c r="O58" i="17"/>
  <c r="L657" i="17"/>
  <c r="L655" i="17" s="1"/>
  <c r="O655" i="17" s="1"/>
  <c r="L789" i="17"/>
  <c r="O789" i="17" s="1"/>
  <c r="L36" i="17"/>
  <c r="O36" i="17" s="1"/>
  <c r="L43" i="17"/>
  <c r="L41" i="17" s="1"/>
  <c r="M55" i="17"/>
  <c r="M53" i="17" s="1"/>
  <c r="L121" i="17"/>
  <c r="L421" i="17"/>
  <c r="O421" i="17" s="1"/>
  <c r="I442" i="17"/>
  <c r="K442" i="17" s="1"/>
  <c r="K465" i="17"/>
  <c r="O323" i="15"/>
  <c r="O350" i="16"/>
  <c r="K355" i="16"/>
  <c r="M43" i="17"/>
  <c r="M41" i="17" s="1"/>
  <c r="N317" i="17"/>
  <c r="N315" i="17" s="1"/>
  <c r="O353" i="17"/>
  <c r="K372" i="17"/>
  <c r="K381" i="17"/>
  <c r="L404" i="17"/>
  <c r="O404" i="17" s="1"/>
  <c r="L639" i="17"/>
  <c r="O639" i="17" s="1"/>
  <c r="L688" i="17"/>
  <c r="K720" i="17"/>
  <c r="K729" i="17"/>
  <c r="O186" i="16"/>
  <c r="O282" i="17"/>
  <c r="L317" i="17"/>
  <c r="O317" i="17" s="1"/>
  <c r="K823" i="15"/>
  <c r="K827" i="15"/>
  <c r="I785" i="16"/>
  <c r="K785" i="16" s="1"/>
  <c r="L90" i="17"/>
  <c r="K100" i="17"/>
  <c r="L138" i="17"/>
  <c r="O138" i="17" s="1"/>
  <c r="P154" i="17"/>
  <c r="L198" i="17"/>
  <c r="O198" i="17" s="1"/>
  <c r="K287" i="17"/>
  <c r="N330" i="17"/>
  <c r="N328" i="17" s="1"/>
  <c r="O397" i="17"/>
  <c r="L631" i="17"/>
  <c r="L629" i="17" s="1"/>
  <c r="M121" i="16"/>
  <c r="P121" i="16" s="1"/>
  <c r="K159" i="16"/>
  <c r="P184" i="16"/>
  <c r="L33" i="17"/>
  <c r="N404" i="17"/>
  <c r="N402" i="17" s="1"/>
  <c r="L167" i="17"/>
  <c r="L165" i="17" s="1"/>
  <c r="L168" i="17"/>
  <c r="O168" i="17" s="1"/>
  <c r="O170" i="17"/>
  <c r="N121" i="16"/>
  <c r="N119" i="16" s="1"/>
  <c r="O323" i="16"/>
  <c r="K359" i="16"/>
  <c r="I654" i="16"/>
  <c r="K654" i="16" s="1"/>
  <c r="N121" i="17"/>
  <c r="N119" i="17" s="1"/>
  <c r="N122" i="17"/>
  <c r="M687" i="17"/>
  <c r="P687" i="17" s="1"/>
  <c r="M688" i="17"/>
  <c r="P690" i="17"/>
  <c r="K826" i="17"/>
  <c r="O306" i="17"/>
  <c r="L304" i="17"/>
  <c r="O304" i="17" s="1"/>
  <c r="K822" i="15"/>
  <c r="M151" i="16"/>
  <c r="M149" i="16" s="1"/>
  <c r="M187" i="16"/>
  <c r="P187" i="16" s="1"/>
  <c r="L404" i="16"/>
  <c r="O404" i="16" s="1"/>
  <c r="L283" i="17"/>
  <c r="O283" i="17" s="1"/>
  <c r="O285" i="17"/>
  <c r="N68" i="16"/>
  <c r="N66" i="16" s="1"/>
  <c r="M90" i="16"/>
  <c r="M88" i="16" s="1"/>
  <c r="P44" i="17"/>
  <c r="I592" i="17"/>
  <c r="K592" i="17" s="1"/>
  <c r="K593" i="17"/>
  <c r="K460" i="16"/>
  <c r="M348" i="17"/>
  <c r="M347" i="17"/>
  <c r="M345" i="17" s="1"/>
  <c r="M449" i="17"/>
  <c r="M447" i="17" s="1"/>
  <c r="L392" i="15"/>
  <c r="O392" i="15" s="1"/>
  <c r="P285" i="16"/>
  <c r="L317" i="16"/>
  <c r="O317" i="16" s="1"/>
  <c r="L632" i="16"/>
  <c r="O632" i="16" s="1"/>
  <c r="M26" i="17"/>
  <c r="M24" i="17" s="1"/>
  <c r="L318" i="16"/>
  <c r="O318" i="16" s="1"/>
  <c r="O173" i="17"/>
  <c r="L171" i="17"/>
  <c r="O171" i="17" s="1"/>
  <c r="M321" i="17"/>
  <c r="P321" i="17" s="1"/>
  <c r="P323" i="17"/>
  <c r="M59" i="17"/>
  <c r="P59" i="17" s="1"/>
  <c r="K99" i="17"/>
  <c r="M122" i="17"/>
  <c r="P122" i="17" s="1"/>
  <c r="L183" i="17"/>
  <c r="L181" i="17" s="1"/>
  <c r="L300" i="17"/>
  <c r="L298" i="17" s="1"/>
  <c r="O323" i="17"/>
  <c r="L347" i="17"/>
  <c r="L546" i="17"/>
  <c r="O546" i="17" s="1"/>
  <c r="M632" i="17"/>
  <c r="M151" i="17"/>
  <c r="M149" i="17" s="1"/>
  <c r="M300" i="17"/>
  <c r="M298" i="17" s="1"/>
  <c r="O331" i="17"/>
  <c r="K369" i="17"/>
  <c r="O557" i="17"/>
  <c r="K577" i="17"/>
  <c r="L687" i="17"/>
  <c r="L685" i="17" s="1"/>
  <c r="K699" i="17"/>
  <c r="K821" i="17"/>
  <c r="L68" i="17"/>
  <c r="L66" i="17" s="1"/>
  <c r="L422" i="17"/>
  <c r="O422" i="17" s="1"/>
  <c r="J433" i="17"/>
  <c r="J417" i="17" s="1"/>
  <c r="O549" i="17"/>
  <c r="J722" i="17"/>
  <c r="K722" i="17" s="1"/>
  <c r="K828" i="17"/>
  <c r="I77" i="17"/>
  <c r="I65" i="17" s="1"/>
  <c r="K65" i="17" s="1"/>
  <c r="O351" i="17"/>
  <c r="K359" i="17"/>
  <c r="M68" i="17"/>
  <c r="P96" i="17"/>
  <c r="M152" i="17"/>
  <c r="N171" i="17"/>
  <c r="L187" i="17"/>
  <c r="O187" i="17" s="1"/>
  <c r="K204" i="17"/>
  <c r="N263" i="17"/>
  <c r="N261" i="17" s="1"/>
  <c r="M402" i="17"/>
  <c r="P402" i="17" s="1"/>
  <c r="M546" i="17"/>
  <c r="M544" i="17" s="1"/>
  <c r="P544" i="17" s="1"/>
  <c r="O634" i="17"/>
  <c r="N55" i="17"/>
  <c r="N53" i="17" s="1"/>
  <c r="J143" i="17"/>
  <c r="J131" i="17" s="1"/>
  <c r="N152" i="17"/>
  <c r="M187" i="17"/>
  <c r="P187" i="17" s="1"/>
  <c r="I190" i="17"/>
  <c r="K190" i="17" s="1"/>
  <c r="L238" i="17"/>
  <c r="O238" i="17" s="1"/>
  <c r="O269" i="17"/>
  <c r="K385" i="17"/>
  <c r="I443" i="17"/>
  <c r="K443" i="17" s="1"/>
  <c r="M547" i="17"/>
  <c r="P547" i="17" s="1"/>
  <c r="K647" i="17"/>
  <c r="O29" i="17"/>
  <c r="P29" i="17"/>
  <c r="O166" i="17"/>
  <c r="L737" i="17"/>
  <c r="O737" i="17" s="1"/>
  <c r="O739" i="17"/>
  <c r="K288" i="15"/>
  <c r="N90" i="16"/>
  <c r="I314" i="16"/>
  <c r="K314" i="16" s="1"/>
  <c r="J364" i="16"/>
  <c r="O660" i="16"/>
  <c r="K825" i="16"/>
  <c r="N9" i="17"/>
  <c r="N26" i="17"/>
  <c r="N16" i="17" s="1"/>
  <c r="N14" i="17" s="1"/>
  <c r="N29" i="17"/>
  <c r="P46" i="17"/>
  <c r="N59" i="17"/>
  <c r="P67" i="17"/>
  <c r="K79" i="17"/>
  <c r="O89" i="17"/>
  <c r="P133" i="17"/>
  <c r="L263" i="17"/>
  <c r="L261" i="17" s="1"/>
  <c r="O266" i="17"/>
  <c r="L264" i="17"/>
  <c r="O264" i="17" s="1"/>
  <c r="M392" i="17"/>
  <c r="P392" i="17" s="1"/>
  <c r="M391" i="17"/>
  <c r="P391" i="17" s="1"/>
  <c r="P394" i="17"/>
  <c r="K672" i="17"/>
  <c r="K675" i="17"/>
  <c r="K669" i="17"/>
  <c r="K674" i="17"/>
  <c r="I654" i="17"/>
  <c r="K654" i="17" s="1"/>
  <c r="K673" i="17"/>
  <c r="P157" i="17"/>
  <c r="M155" i="17"/>
  <c r="P155" i="17" s="1"/>
  <c r="O182" i="17"/>
  <c r="L43" i="16"/>
  <c r="L41" i="16" s="1"/>
  <c r="M55" i="16"/>
  <c r="M53" i="16" s="1"/>
  <c r="K822" i="16"/>
  <c r="P22" i="17"/>
  <c r="M19" i="17"/>
  <c r="P32" i="17"/>
  <c r="P42" i="17"/>
  <c r="L47" i="17"/>
  <c r="O47" i="17" s="1"/>
  <c r="P49" i="17"/>
  <c r="I143" i="17"/>
  <c r="K145" i="17"/>
  <c r="K576" i="17"/>
  <c r="J559" i="17"/>
  <c r="J543" i="17" s="1"/>
  <c r="P127" i="17"/>
  <c r="M125" i="17"/>
  <c r="P125" i="17" s="1"/>
  <c r="N72" i="16"/>
  <c r="I76" i="16"/>
  <c r="I64" i="16" s="1"/>
  <c r="K64" i="16" s="1"/>
  <c r="M26" i="16"/>
  <c r="M24" i="16" s="1"/>
  <c r="M330" i="16"/>
  <c r="M328" i="16" s="1"/>
  <c r="O407" i="16"/>
  <c r="J721" i="16"/>
  <c r="K721" i="16" s="1"/>
  <c r="P35" i="17"/>
  <c r="M34" i="17"/>
  <c r="P34" i="17" s="1"/>
  <c r="M47" i="17"/>
  <c r="P47" i="17" s="1"/>
  <c r="L134" i="17"/>
  <c r="O137" i="17"/>
  <c r="L135" i="17"/>
  <c r="O135" i="17" s="1"/>
  <c r="I130" i="17"/>
  <c r="K130" i="17" s="1"/>
  <c r="K146" i="17"/>
  <c r="M167" i="17"/>
  <c r="P170" i="17"/>
  <c r="M168" i="17"/>
  <c r="P168" i="17" s="1"/>
  <c r="M183" i="17"/>
  <c r="P186" i="17"/>
  <c r="M184" i="17"/>
  <c r="P184" i="17" s="1"/>
  <c r="P468" i="17"/>
  <c r="K271" i="17"/>
  <c r="I260" i="17"/>
  <c r="K260" i="17" s="1"/>
  <c r="N43" i="16"/>
  <c r="N41" i="16" s="1"/>
  <c r="M167" i="16"/>
  <c r="M165" i="16" s="1"/>
  <c r="L209" i="16"/>
  <c r="O209" i="16" s="1"/>
  <c r="L217" i="16"/>
  <c r="O217" i="16" s="1"/>
  <c r="K271" i="16"/>
  <c r="O282" i="16"/>
  <c r="P348" i="16"/>
  <c r="K827" i="16"/>
  <c r="O25" i="17"/>
  <c r="P58" i="17"/>
  <c r="M56" i="17"/>
  <c r="P56" i="17" s="1"/>
  <c r="O71" i="17"/>
  <c r="M90" i="17"/>
  <c r="P93" i="17"/>
  <c r="M91" i="17"/>
  <c r="P91" i="17" s="1"/>
  <c r="K98" i="17"/>
  <c r="M134" i="17"/>
  <c r="P134" i="17" s="1"/>
  <c r="L69" i="16"/>
  <c r="O69" i="16" s="1"/>
  <c r="L405" i="16"/>
  <c r="O405" i="16" s="1"/>
  <c r="O74" i="17"/>
  <c r="L72" i="17"/>
  <c r="O72" i="17" s="1"/>
  <c r="M279" i="17"/>
  <c r="M277" i="17" s="1"/>
  <c r="P282" i="17"/>
  <c r="M280" i="17"/>
  <c r="N300" i="17"/>
  <c r="N298" i="17" s="1"/>
  <c r="N301" i="17"/>
  <c r="O301" i="17" s="1"/>
  <c r="K365" i="17"/>
  <c r="J364" i="17"/>
  <c r="I87" i="15"/>
  <c r="K87" i="15" s="1"/>
  <c r="O170" i="16"/>
  <c r="K381" i="16"/>
  <c r="K701" i="16"/>
  <c r="K720" i="16"/>
  <c r="L12" i="17"/>
  <c r="M23" i="17"/>
  <c r="M21" i="17" s="1"/>
  <c r="O46" i="17"/>
  <c r="L44" i="17"/>
  <c r="O44" i="17" s="1"/>
  <c r="O54" i="17"/>
  <c r="O56" i="17"/>
  <c r="O93" i="17"/>
  <c r="O535" i="17"/>
  <c r="L533" i="17"/>
  <c r="O533" i="17" s="1"/>
  <c r="K360" i="16"/>
  <c r="K651" i="16"/>
  <c r="M12" i="17"/>
  <c r="O19" i="17"/>
  <c r="N23" i="17"/>
  <c r="O32" i="17"/>
  <c r="N43" i="17"/>
  <c r="N41" i="17" s="1"/>
  <c r="L26" i="17"/>
  <c r="O49" i="17"/>
  <c r="O91" i="17"/>
  <c r="M121" i="17"/>
  <c r="O503" i="17"/>
  <c r="L502" i="17"/>
  <c r="O502" i="17" s="1"/>
  <c r="N525" i="17"/>
  <c r="N33" i="17"/>
  <c r="N31" i="17" s="1"/>
  <c r="N526" i="17"/>
  <c r="M263" i="17"/>
  <c r="M264" i="17"/>
  <c r="P264" i="17" s="1"/>
  <c r="L280" i="17"/>
  <c r="N279" i="17"/>
  <c r="N277" i="17" s="1"/>
  <c r="N280" i="17"/>
  <c r="M301" i="17"/>
  <c r="O303" i="17"/>
  <c r="O316" i="17"/>
  <c r="L318" i="17"/>
  <c r="O318" i="17" s="1"/>
  <c r="O320" i="17"/>
  <c r="K340" i="17"/>
  <c r="P403" i="17"/>
  <c r="N547" i="17"/>
  <c r="P278" i="17"/>
  <c r="P353" i="17"/>
  <c r="M351" i="17"/>
  <c r="P351" i="17" s="1"/>
  <c r="P445" i="17"/>
  <c r="O524" i="17"/>
  <c r="K559" i="17"/>
  <c r="N756" i="17"/>
  <c r="N754" i="17" s="1"/>
  <c r="N757" i="17"/>
  <c r="M805" i="17"/>
  <c r="P805" i="17" s="1"/>
  <c r="P807" i="17"/>
  <c r="I233" i="17"/>
  <c r="K233" i="17" s="1"/>
  <c r="O262" i="17"/>
  <c r="M304" i="17"/>
  <c r="P304" i="17" s="1"/>
  <c r="N321" i="17"/>
  <c r="P336" i="17"/>
  <c r="M334" i="17"/>
  <c r="P334" i="17" s="1"/>
  <c r="N348" i="17"/>
  <c r="O348" i="17" s="1"/>
  <c r="O350" i="17"/>
  <c r="O390" i="17"/>
  <c r="O431" i="17"/>
  <c r="L469" i="17"/>
  <c r="O469" i="17" s="1"/>
  <c r="O472" i="17"/>
  <c r="M472" i="17"/>
  <c r="L470" i="17"/>
  <c r="O470" i="17" s="1"/>
  <c r="J537" i="17"/>
  <c r="J522" i="17" s="1"/>
  <c r="K594" i="17"/>
  <c r="K649" i="17"/>
  <c r="N685" i="17"/>
  <c r="P316" i="17"/>
  <c r="P350" i="17"/>
  <c r="M395" i="17"/>
  <c r="P395" i="17" s="1"/>
  <c r="L405" i="17"/>
  <c r="O405" i="17" s="1"/>
  <c r="O420" i="17"/>
  <c r="K438" i="17"/>
  <c r="I434" i="17"/>
  <c r="N523" i="17"/>
  <c r="K537" i="17"/>
  <c r="I543" i="17"/>
  <c r="O787" i="17"/>
  <c r="L786" i="17"/>
  <c r="O786" i="17" s="1"/>
  <c r="L279" i="17"/>
  <c r="P285" i="17"/>
  <c r="K309" i="17"/>
  <c r="P333" i="17"/>
  <c r="O336" i="17"/>
  <c r="O346" i="17"/>
  <c r="O407" i="17"/>
  <c r="O449" i="17"/>
  <c r="K725" i="17"/>
  <c r="J355" i="17"/>
  <c r="K355" i="17" s="1"/>
  <c r="N405" i="17"/>
  <c r="P410" i="17"/>
  <c r="M657" i="17"/>
  <c r="P660" i="17"/>
  <c r="M658" i="17"/>
  <c r="P658" i="17" s="1"/>
  <c r="P303" i="17"/>
  <c r="M317" i="17"/>
  <c r="P317" i="17" s="1"/>
  <c r="P320" i="17"/>
  <c r="M318" i="17"/>
  <c r="P318" i="17" s="1"/>
  <c r="N446" i="17"/>
  <c r="N447" i="17"/>
  <c r="O447" i="17" s="1"/>
  <c r="O456" i="17"/>
  <c r="L454" i="17"/>
  <c r="O454" i="17" s="1"/>
  <c r="L525" i="17"/>
  <c r="O525" i="17" s="1"/>
  <c r="O528" i="17"/>
  <c r="P755" i="17"/>
  <c r="M754" i="17"/>
  <c r="P754" i="17" s="1"/>
  <c r="L770" i="17"/>
  <c r="O770" i="17" s="1"/>
  <c r="O772" i="17"/>
  <c r="N631" i="17"/>
  <c r="N629" i="17" s="1"/>
  <c r="N688" i="17"/>
  <c r="P788" i="17"/>
  <c r="L754" i="17"/>
  <c r="O754" i="17" s="1"/>
  <c r="O807" i="17"/>
  <c r="J628" i="17"/>
  <c r="K628" i="17" s="1"/>
  <c r="L658" i="17"/>
  <c r="O658" i="17" s="1"/>
  <c r="L547" i="17"/>
  <c r="O547" i="17" s="1"/>
  <c r="L632" i="17"/>
  <c r="N632" i="17"/>
  <c r="N90" i="15"/>
  <c r="N88" i="15" s="1"/>
  <c r="K379" i="15"/>
  <c r="I443" i="15"/>
  <c r="K443" i="15" s="1"/>
  <c r="P59" i="16"/>
  <c r="P96" i="16"/>
  <c r="L134" i="16"/>
  <c r="O134" i="16" s="1"/>
  <c r="N404" i="16"/>
  <c r="N402" i="16" s="1"/>
  <c r="M408" i="16"/>
  <c r="P408" i="16" s="1"/>
  <c r="K700" i="16"/>
  <c r="P124" i="16"/>
  <c r="P127" i="16"/>
  <c r="P173" i="16"/>
  <c r="M279" i="16"/>
  <c r="M277" i="16" s="1"/>
  <c r="P320" i="15"/>
  <c r="K370" i="15"/>
  <c r="O58" i="16"/>
  <c r="M94" i="16"/>
  <c r="P94" i="16" s="1"/>
  <c r="M125" i="16"/>
  <c r="P125" i="16" s="1"/>
  <c r="N167" i="16"/>
  <c r="N165" i="16" s="1"/>
  <c r="P170" i="16"/>
  <c r="O336" i="16"/>
  <c r="M391" i="16"/>
  <c r="M389" i="16" s="1"/>
  <c r="P389" i="16" s="1"/>
  <c r="K823" i="16"/>
  <c r="K340" i="15"/>
  <c r="M122" i="16"/>
  <c r="P122" i="16" s="1"/>
  <c r="M171" i="16"/>
  <c r="P171" i="16" s="1"/>
  <c r="P331" i="16"/>
  <c r="K338" i="16"/>
  <c r="K362" i="16"/>
  <c r="K369" i="16"/>
  <c r="K379" i="16"/>
  <c r="K385" i="16"/>
  <c r="M392" i="16"/>
  <c r="P392" i="16" s="1"/>
  <c r="M634" i="16"/>
  <c r="M631" i="16" s="1"/>
  <c r="P631" i="16" s="1"/>
  <c r="K647" i="16"/>
  <c r="K828" i="16"/>
  <c r="O46" i="16"/>
  <c r="L228" i="14"/>
  <c r="P127" i="15"/>
  <c r="L229" i="15"/>
  <c r="K365" i="15"/>
  <c r="K378" i="15"/>
  <c r="P46" i="16"/>
  <c r="P186" i="16"/>
  <c r="K370" i="16"/>
  <c r="K374" i="16"/>
  <c r="L631" i="16"/>
  <c r="L629" i="16" s="1"/>
  <c r="O629" i="16" s="1"/>
  <c r="P353" i="15"/>
  <c r="L36" i="16"/>
  <c r="O36" i="16" s="1"/>
  <c r="P71" i="16"/>
  <c r="K649" i="16"/>
  <c r="K699" i="16"/>
  <c r="P93" i="16"/>
  <c r="N134" i="16"/>
  <c r="N132" i="16" s="1"/>
  <c r="P168" i="16"/>
  <c r="K287" i="16"/>
  <c r="M351" i="16"/>
  <c r="P353" i="16"/>
  <c r="K462" i="16"/>
  <c r="P91" i="16"/>
  <c r="O353" i="16"/>
  <c r="N347" i="16"/>
  <c r="N345" i="16" s="1"/>
  <c r="M263" i="15"/>
  <c r="M261" i="15" s="1"/>
  <c r="P269" i="15"/>
  <c r="K576" i="15"/>
  <c r="L657" i="15"/>
  <c r="L655" i="15" s="1"/>
  <c r="O655" i="15" s="1"/>
  <c r="P58" i="16"/>
  <c r="N94" i="16"/>
  <c r="L135" i="16"/>
  <c r="O135" i="16" s="1"/>
  <c r="O140" i="16"/>
  <c r="K255" i="16"/>
  <c r="K276" i="16"/>
  <c r="N330" i="16"/>
  <c r="N328" i="16" s="1"/>
  <c r="K723" i="16"/>
  <c r="L72" i="14"/>
  <c r="O72" i="14" s="1"/>
  <c r="P140" i="14"/>
  <c r="O549" i="14"/>
  <c r="K374" i="15"/>
  <c r="J722" i="15"/>
  <c r="L56" i="16"/>
  <c r="I86" i="16"/>
  <c r="K86" i="16" s="1"/>
  <c r="M135" i="16"/>
  <c r="P135" i="16" s="1"/>
  <c r="K365" i="16"/>
  <c r="L391" i="16"/>
  <c r="O394" i="16"/>
  <c r="M59" i="15"/>
  <c r="P59" i="15" s="1"/>
  <c r="M56" i="16"/>
  <c r="L230" i="16"/>
  <c r="P306" i="16"/>
  <c r="M304" i="16"/>
  <c r="P304" i="16" s="1"/>
  <c r="I434" i="16"/>
  <c r="O549" i="16"/>
  <c r="M549" i="16"/>
  <c r="M546" i="16" s="1"/>
  <c r="P546" i="16" s="1"/>
  <c r="L547" i="14"/>
  <c r="O547" i="14" s="1"/>
  <c r="P44" i="16"/>
  <c r="L167" i="16"/>
  <c r="L165" i="16" s="1"/>
  <c r="O189" i="16"/>
  <c r="L231" i="16"/>
  <c r="N304" i="16"/>
  <c r="N300" i="16"/>
  <c r="N298" i="16" s="1"/>
  <c r="M347" i="16"/>
  <c r="M345" i="16" s="1"/>
  <c r="K537" i="16"/>
  <c r="O173" i="16"/>
  <c r="M183" i="16"/>
  <c r="M181" i="16" s="1"/>
  <c r="I216" i="16"/>
  <c r="K216" i="16" s="1"/>
  <c r="L301" i="16"/>
  <c r="O301" i="16" s="1"/>
  <c r="O303" i="16"/>
  <c r="L300" i="16"/>
  <c r="L395" i="16"/>
  <c r="O395" i="16" s="1"/>
  <c r="O410" i="16"/>
  <c r="L470" i="16"/>
  <c r="L469" i="16"/>
  <c r="O469" i="16" s="1"/>
  <c r="M472" i="16"/>
  <c r="M469" i="16" s="1"/>
  <c r="O690" i="16"/>
  <c r="M690" i="16"/>
  <c r="J722" i="16"/>
  <c r="K722" i="16" s="1"/>
  <c r="K824" i="16"/>
  <c r="I233" i="16"/>
  <c r="K233" i="16" s="1"/>
  <c r="K340" i="16"/>
  <c r="J537" i="16"/>
  <c r="J522" i="16" s="1"/>
  <c r="J327" i="16"/>
  <c r="K327" i="16" s="1"/>
  <c r="K826" i="16"/>
  <c r="O29" i="16"/>
  <c r="L230" i="15"/>
  <c r="M330" i="15"/>
  <c r="M328" i="15" s="1"/>
  <c r="L408" i="15"/>
  <c r="O408" i="15" s="1"/>
  <c r="N55" i="16"/>
  <c r="N53" i="16" s="1"/>
  <c r="O61" i="16"/>
  <c r="I87" i="16"/>
  <c r="K87" i="16" s="1"/>
  <c r="L121" i="16"/>
  <c r="L122" i="16"/>
  <c r="O122" i="16" s="1"/>
  <c r="I190" i="16"/>
  <c r="K190" i="16" s="1"/>
  <c r="K193" i="16"/>
  <c r="O424" i="16"/>
  <c r="N422" i="16"/>
  <c r="N421" i="16"/>
  <c r="N134" i="14"/>
  <c r="N132" i="14" s="1"/>
  <c r="M688" i="14"/>
  <c r="P688" i="14" s="1"/>
  <c r="M68" i="15"/>
  <c r="P68" i="15" s="1"/>
  <c r="M121" i="15"/>
  <c r="P121" i="15" s="1"/>
  <c r="L231" i="15"/>
  <c r="P323" i="15"/>
  <c r="K381" i="15"/>
  <c r="L525" i="15"/>
  <c r="O525" i="15" s="1"/>
  <c r="M19" i="16"/>
  <c r="L26" i="16"/>
  <c r="O32" i="16"/>
  <c r="N34" i="16"/>
  <c r="L44" i="16"/>
  <c r="O44" i="16" s="1"/>
  <c r="N23" i="16"/>
  <c r="N56" i="16"/>
  <c r="P61" i="16"/>
  <c r="I77" i="16"/>
  <c r="O93" i="16"/>
  <c r="L91" i="16"/>
  <c r="O91" i="16" s="1"/>
  <c r="P120" i="16"/>
  <c r="M134" i="16"/>
  <c r="J143" i="16"/>
  <c r="J131" i="16" s="1"/>
  <c r="I143" i="16"/>
  <c r="K145" i="16"/>
  <c r="N183" i="16"/>
  <c r="L198" i="16"/>
  <c r="O198" i="16" s="1"/>
  <c r="N227" i="16"/>
  <c r="L331" i="16"/>
  <c r="O331" i="16" s="1"/>
  <c r="L330" i="16"/>
  <c r="O333" i="16"/>
  <c r="O468" i="16"/>
  <c r="N786" i="16"/>
  <c r="I216" i="9"/>
  <c r="K216" i="9" s="1"/>
  <c r="O67" i="16"/>
  <c r="I112" i="16"/>
  <c r="K112" i="16" s="1"/>
  <c r="K116" i="16"/>
  <c r="N26" i="15"/>
  <c r="N16" i="15" s="1"/>
  <c r="N26" i="16"/>
  <c r="O35" i="16"/>
  <c r="O59" i="16"/>
  <c r="P67" i="16"/>
  <c r="L151" i="16"/>
  <c r="L152" i="16"/>
  <c r="O152" i="16" s="1"/>
  <c r="O269" i="16"/>
  <c r="L267" i="16"/>
  <c r="O267" i="16" s="1"/>
  <c r="L263" i="16"/>
  <c r="K288" i="16"/>
  <c r="J275" i="16"/>
  <c r="L446" i="16"/>
  <c r="L447" i="16"/>
  <c r="O447" i="16" s="1"/>
  <c r="O449" i="16"/>
  <c r="K576" i="16"/>
  <c r="I559" i="16"/>
  <c r="N788" i="16"/>
  <c r="N789" i="16"/>
  <c r="M122" i="14"/>
  <c r="P122" i="14" s="1"/>
  <c r="L231" i="14"/>
  <c r="L90" i="15"/>
  <c r="L88" i="15" s="1"/>
  <c r="J143" i="15"/>
  <c r="J131" i="15" s="1"/>
  <c r="P266" i="15"/>
  <c r="M317" i="15"/>
  <c r="P317" i="15" s="1"/>
  <c r="J327" i="15"/>
  <c r="K327" i="15" s="1"/>
  <c r="L395" i="15"/>
  <c r="O395" i="15" s="1"/>
  <c r="O456" i="15"/>
  <c r="K465" i="15"/>
  <c r="L788" i="15"/>
  <c r="O788" i="15" s="1"/>
  <c r="N19" i="16"/>
  <c r="P32" i="16"/>
  <c r="P35" i="16"/>
  <c r="M34" i="16"/>
  <c r="P34" i="16" s="1"/>
  <c r="P42" i="16"/>
  <c r="L47" i="16"/>
  <c r="O47" i="16" s="1"/>
  <c r="L72" i="16"/>
  <c r="O72" i="16" s="1"/>
  <c r="K78" i="16"/>
  <c r="O89" i="16"/>
  <c r="O182" i="16"/>
  <c r="L229" i="16"/>
  <c r="L238" i="16"/>
  <c r="J433" i="16"/>
  <c r="J417" i="16" s="1"/>
  <c r="K435" i="16"/>
  <c r="I433" i="16"/>
  <c r="I77" i="15"/>
  <c r="I65" i="15" s="1"/>
  <c r="K65" i="15" s="1"/>
  <c r="K255" i="15"/>
  <c r="P336" i="15"/>
  <c r="K385" i="15"/>
  <c r="L421" i="15"/>
  <c r="L419" i="15" s="1"/>
  <c r="L36" i="15"/>
  <c r="O36" i="15" s="1"/>
  <c r="K824" i="15"/>
  <c r="P22" i="16"/>
  <c r="L33" i="16"/>
  <c r="L31" i="16" s="1"/>
  <c r="P49" i="16"/>
  <c r="L68" i="16"/>
  <c r="O68" i="16" s="1"/>
  <c r="P89" i="16"/>
  <c r="O96" i="16"/>
  <c r="K100" i="16"/>
  <c r="N122" i="16"/>
  <c r="N151" i="16"/>
  <c r="P154" i="16"/>
  <c r="O166" i="16"/>
  <c r="P266" i="16"/>
  <c r="M264" i="16"/>
  <c r="P278" i="16"/>
  <c r="P524" i="16"/>
  <c r="M523" i="16"/>
  <c r="P523" i="16" s="1"/>
  <c r="O557" i="16"/>
  <c r="L555" i="16"/>
  <c r="O555" i="16" s="1"/>
  <c r="L546" i="16"/>
  <c r="K725" i="16"/>
  <c r="M347" i="12"/>
  <c r="M345" i="12" s="1"/>
  <c r="O137" i="15"/>
  <c r="N151" i="15"/>
  <c r="N149" i="15" s="1"/>
  <c r="M264" i="15"/>
  <c r="P264" i="15" s="1"/>
  <c r="L688" i="15"/>
  <c r="O688" i="15" s="1"/>
  <c r="N9" i="16"/>
  <c r="M12" i="16"/>
  <c r="L23" i="16"/>
  <c r="L21" i="16" s="1"/>
  <c r="N33" i="16"/>
  <c r="M43" i="16"/>
  <c r="L55" i="16"/>
  <c r="M68" i="16"/>
  <c r="P68" i="16" s="1"/>
  <c r="P74" i="16"/>
  <c r="O154" i="16"/>
  <c r="L94" i="15"/>
  <c r="O94" i="15" s="1"/>
  <c r="K821" i="15"/>
  <c r="L15" i="16"/>
  <c r="M23" i="16"/>
  <c r="M21" i="16" s="1"/>
  <c r="L90" i="16"/>
  <c r="M138" i="16"/>
  <c r="P138" i="16" s="1"/>
  <c r="P152" i="16"/>
  <c r="I174" i="16"/>
  <c r="K176" i="16"/>
  <c r="L183" i="16"/>
  <c r="L181" i="16" s="1"/>
  <c r="I297" i="16"/>
  <c r="K297" i="16" s="1"/>
  <c r="K309" i="16"/>
  <c r="M404" i="16"/>
  <c r="P407" i="16"/>
  <c r="M405" i="16"/>
  <c r="P405" i="16" s="1"/>
  <c r="L525" i="16"/>
  <c r="L526" i="16"/>
  <c r="O526" i="16" s="1"/>
  <c r="O528" i="16"/>
  <c r="L12" i="16"/>
  <c r="M15" i="16"/>
  <c r="M300" i="16"/>
  <c r="P303" i="16"/>
  <c r="M301" i="16"/>
  <c r="P301" i="16" s="1"/>
  <c r="N419" i="16"/>
  <c r="M655" i="16"/>
  <c r="P655" i="16" s="1"/>
  <c r="P657" i="16"/>
  <c r="N263" i="16"/>
  <c r="N261" i="16" s="1"/>
  <c r="O266" i="16"/>
  <c r="N264" i="16"/>
  <c r="O264" i="16" s="1"/>
  <c r="M267" i="16"/>
  <c r="P267" i="16" s="1"/>
  <c r="P269" i="16"/>
  <c r="O316" i="16"/>
  <c r="P503" i="16"/>
  <c r="M502" i="16"/>
  <c r="P502" i="16" s="1"/>
  <c r="K672" i="16"/>
  <c r="K675" i="16"/>
  <c r="K674" i="16"/>
  <c r="P755" i="16"/>
  <c r="M754" i="16"/>
  <c r="P754" i="16" s="1"/>
  <c r="L125" i="16"/>
  <c r="O125" i="16" s="1"/>
  <c r="L155" i="16"/>
  <c r="O155" i="16" s="1"/>
  <c r="L168" i="16"/>
  <c r="O168" i="16" s="1"/>
  <c r="L184" i="16"/>
  <c r="O184" i="16" s="1"/>
  <c r="L279" i="16"/>
  <c r="L280" i="16"/>
  <c r="O280" i="16" s="1"/>
  <c r="L348" i="16"/>
  <c r="O348" i="16" s="1"/>
  <c r="L347" i="16"/>
  <c r="P397" i="16"/>
  <c r="M395" i="16"/>
  <c r="P395" i="16" s="1"/>
  <c r="K592" i="16"/>
  <c r="O641" i="16"/>
  <c r="L639" i="16"/>
  <c r="O639" i="16" s="1"/>
  <c r="O656" i="16"/>
  <c r="L655" i="16"/>
  <c r="O655" i="16" s="1"/>
  <c r="K669" i="16"/>
  <c r="O806" i="16"/>
  <c r="L805" i="16"/>
  <c r="O805" i="16" s="1"/>
  <c r="L249" i="16"/>
  <c r="O249" i="16" s="1"/>
  <c r="L228" i="16"/>
  <c r="N392" i="16"/>
  <c r="N391" i="16"/>
  <c r="N389" i="16" s="1"/>
  <c r="P555" i="16"/>
  <c r="M545" i="16"/>
  <c r="K593" i="16"/>
  <c r="L685" i="16"/>
  <c r="O685" i="16" s="1"/>
  <c r="O787" i="16"/>
  <c r="N279" i="16"/>
  <c r="P282" i="16"/>
  <c r="M317" i="16"/>
  <c r="M318" i="16"/>
  <c r="P318" i="16" s="1"/>
  <c r="P336" i="16"/>
  <c r="P445" i="16"/>
  <c r="M444" i="16"/>
  <c r="P444" i="16" s="1"/>
  <c r="N504" i="16"/>
  <c r="N502" i="16" s="1"/>
  <c r="N505" i="16"/>
  <c r="N756" i="16"/>
  <c r="N754" i="16" s="1"/>
  <c r="N757" i="16"/>
  <c r="P323" i="16"/>
  <c r="P333" i="16"/>
  <c r="P350" i="16"/>
  <c r="N688" i="16"/>
  <c r="P788" i="16"/>
  <c r="N807" i="16"/>
  <c r="N805" i="16" s="1"/>
  <c r="I628" i="16"/>
  <c r="K628" i="16" s="1"/>
  <c r="I275" i="16"/>
  <c r="L304" i="16"/>
  <c r="O304" i="16" s="1"/>
  <c r="N318" i="16"/>
  <c r="N351" i="16"/>
  <c r="O351" i="16" s="1"/>
  <c r="L392" i="16"/>
  <c r="O392" i="16" s="1"/>
  <c r="L422" i="16"/>
  <c r="O422" i="16" s="1"/>
  <c r="M424" i="16"/>
  <c r="L454" i="16"/>
  <c r="O454" i="16" s="1"/>
  <c r="N470" i="16"/>
  <c r="O472" i="16"/>
  <c r="L533" i="16"/>
  <c r="O533" i="16" s="1"/>
  <c r="K539" i="16"/>
  <c r="L658" i="16"/>
  <c r="O658" i="16" s="1"/>
  <c r="L477" i="16"/>
  <c r="O477" i="16" s="1"/>
  <c r="L737" i="16"/>
  <c r="O737" i="16" s="1"/>
  <c r="L770" i="16"/>
  <c r="O770" i="16" s="1"/>
  <c r="M805" i="16"/>
  <c r="P805" i="16" s="1"/>
  <c r="L688" i="16"/>
  <c r="O688" i="16" s="1"/>
  <c r="M737" i="16"/>
  <c r="P737" i="16" s="1"/>
  <c r="M770" i="16"/>
  <c r="P770" i="16" s="1"/>
  <c r="K559" i="15"/>
  <c r="I543" i="15"/>
  <c r="K543" i="15" s="1"/>
  <c r="L230" i="12"/>
  <c r="L688" i="13"/>
  <c r="K720" i="13"/>
  <c r="J722" i="13"/>
  <c r="K722" i="13" s="1"/>
  <c r="K726" i="14"/>
  <c r="K828" i="14"/>
  <c r="N55" i="15"/>
  <c r="N53" i="15" s="1"/>
  <c r="M122" i="15"/>
  <c r="P122" i="15" s="1"/>
  <c r="I276" i="15"/>
  <c r="K276" i="15" s="1"/>
  <c r="K360" i="15"/>
  <c r="L469" i="15"/>
  <c r="L467" i="15" s="1"/>
  <c r="O467" i="15" s="1"/>
  <c r="O479" i="15"/>
  <c r="O56" i="15"/>
  <c r="P410" i="15"/>
  <c r="O472" i="15"/>
  <c r="L658" i="15"/>
  <c r="O658" i="15" s="1"/>
  <c r="J721" i="15"/>
  <c r="K823" i="13"/>
  <c r="I314" i="14"/>
  <c r="K314" i="14" s="1"/>
  <c r="P46" i="15"/>
  <c r="P49" i="15"/>
  <c r="I76" i="15"/>
  <c r="K76" i="15" s="1"/>
  <c r="M351" i="15"/>
  <c r="P351" i="15" s="1"/>
  <c r="J364" i="15"/>
  <c r="L477" i="15"/>
  <c r="O477" i="15" s="1"/>
  <c r="L283" i="14"/>
  <c r="O283" i="14" s="1"/>
  <c r="L47" i="15"/>
  <c r="O47" i="15" s="1"/>
  <c r="M90" i="15"/>
  <c r="M88" i="15" s="1"/>
  <c r="O93" i="15"/>
  <c r="K362" i="15"/>
  <c r="K369" i="15"/>
  <c r="L470" i="15"/>
  <c r="O470" i="15" s="1"/>
  <c r="O690" i="15"/>
  <c r="I785" i="15"/>
  <c r="K785" i="15" s="1"/>
  <c r="K828" i="15"/>
  <c r="L408" i="13"/>
  <c r="O408" i="13" s="1"/>
  <c r="I86" i="14"/>
  <c r="K86" i="14" s="1"/>
  <c r="N151" i="14"/>
  <c r="N149" i="14" s="1"/>
  <c r="K822" i="14"/>
  <c r="K826" i="14"/>
  <c r="M43" i="15"/>
  <c r="M41" i="15" s="1"/>
  <c r="N68" i="15"/>
  <c r="N66" i="15" s="1"/>
  <c r="P93" i="15"/>
  <c r="O266" i="15"/>
  <c r="O269" i="15"/>
  <c r="M347" i="15"/>
  <c r="M345" i="15" s="1"/>
  <c r="O58" i="15"/>
  <c r="L69" i="15"/>
  <c r="O69" i="15" s="1"/>
  <c r="I112" i="15"/>
  <c r="K112" i="15" s="1"/>
  <c r="L263" i="15"/>
  <c r="L261" i="15" s="1"/>
  <c r="L632" i="12"/>
  <c r="O632" i="12" s="1"/>
  <c r="K378" i="14"/>
  <c r="K725" i="14"/>
  <c r="K823" i="14"/>
  <c r="K827" i="14"/>
  <c r="K176" i="15"/>
  <c r="K359" i="15"/>
  <c r="L391" i="15"/>
  <c r="L389" i="15" s="1"/>
  <c r="O389" i="15" s="1"/>
  <c r="K651" i="15"/>
  <c r="M685" i="14"/>
  <c r="P685" i="14" s="1"/>
  <c r="K81" i="15"/>
  <c r="I130" i="15"/>
  <c r="K130" i="15" s="1"/>
  <c r="L134" i="15"/>
  <c r="M151" i="15"/>
  <c r="P151" i="15" s="1"/>
  <c r="N183" i="15"/>
  <c r="N181" i="15" s="1"/>
  <c r="I248" i="13"/>
  <c r="K248" i="13" s="1"/>
  <c r="M121" i="14"/>
  <c r="P121" i="14" s="1"/>
  <c r="P157" i="14"/>
  <c r="N44" i="15"/>
  <c r="P44" i="15" s="1"/>
  <c r="M134" i="15"/>
  <c r="M132" i="15" s="1"/>
  <c r="P132" i="15" s="1"/>
  <c r="M183" i="15"/>
  <c r="M181" i="15" s="1"/>
  <c r="N187" i="15"/>
  <c r="M280" i="15"/>
  <c r="P280" i="15" s="1"/>
  <c r="M279" i="15"/>
  <c r="P279" i="15" s="1"/>
  <c r="P282" i="15"/>
  <c r="L351" i="15"/>
  <c r="O351" i="15" s="1"/>
  <c r="O353" i="15"/>
  <c r="M300" i="14"/>
  <c r="P300" i="14" s="1"/>
  <c r="M94" i="15"/>
  <c r="P94" i="15" s="1"/>
  <c r="P137" i="15"/>
  <c r="O140" i="15"/>
  <c r="L152" i="15"/>
  <c r="O152" i="15" s="1"/>
  <c r="N279" i="15"/>
  <c r="N277" i="15" s="1"/>
  <c r="N280" i="15"/>
  <c r="N301" i="15"/>
  <c r="O301" i="15" s="1"/>
  <c r="N300" i="15"/>
  <c r="N298" i="15" s="1"/>
  <c r="L47" i="14"/>
  <c r="O47" i="14" s="1"/>
  <c r="K159" i="14"/>
  <c r="M152" i="15"/>
  <c r="P152" i="15" s="1"/>
  <c r="N184" i="15"/>
  <c r="P184" i="15" s="1"/>
  <c r="L198" i="15"/>
  <c r="O198" i="15" s="1"/>
  <c r="K325" i="15"/>
  <c r="I314" i="15"/>
  <c r="K314" i="15" s="1"/>
  <c r="P549" i="14"/>
  <c r="L121" i="15"/>
  <c r="O121" i="15" s="1"/>
  <c r="O157" i="15"/>
  <c r="L171" i="15"/>
  <c r="O171" i="15" s="1"/>
  <c r="I190" i="15"/>
  <c r="K190" i="15" s="1"/>
  <c r="K193" i="15"/>
  <c r="N405" i="15"/>
  <c r="N404" i="15"/>
  <c r="N402" i="15" s="1"/>
  <c r="J537" i="15"/>
  <c r="J522" i="15" s="1"/>
  <c r="K540" i="15"/>
  <c r="K675" i="15"/>
  <c r="K672" i="15"/>
  <c r="L631" i="12"/>
  <c r="L629" i="12" s="1"/>
  <c r="O629" i="12" s="1"/>
  <c r="K99" i="14"/>
  <c r="M267" i="14"/>
  <c r="P267" i="14" s="1"/>
  <c r="L55" i="15"/>
  <c r="L53" i="15" s="1"/>
  <c r="P71" i="15"/>
  <c r="I86" i="15"/>
  <c r="K86" i="15" s="1"/>
  <c r="M155" i="15"/>
  <c r="P155" i="15" s="1"/>
  <c r="M167" i="15"/>
  <c r="M165" i="15" s="1"/>
  <c r="P173" i="15"/>
  <c r="O189" i="15"/>
  <c r="L187" i="15"/>
  <c r="O187" i="15" s="1"/>
  <c r="K828" i="13"/>
  <c r="M72" i="15"/>
  <c r="P72" i="15" s="1"/>
  <c r="L122" i="15"/>
  <c r="O122" i="15" s="1"/>
  <c r="O127" i="15"/>
  <c r="O186" i="15"/>
  <c r="M187" i="15"/>
  <c r="P187" i="15" s="1"/>
  <c r="P189" i="15"/>
  <c r="L238" i="15"/>
  <c r="O238" i="15" s="1"/>
  <c r="M283" i="15"/>
  <c r="P283" i="15" s="1"/>
  <c r="P285" i="15"/>
  <c r="M304" i="15"/>
  <c r="P304" i="15" s="1"/>
  <c r="P306" i="15"/>
  <c r="M392" i="15"/>
  <c r="P392" i="15" s="1"/>
  <c r="P394" i="15"/>
  <c r="L533" i="15"/>
  <c r="O533" i="15" s="1"/>
  <c r="O535" i="15"/>
  <c r="O285" i="15"/>
  <c r="L304" i="15"/>
  <c r="O304" i="15" s="1"/>
  <c r="K338" i="15"/>
  <c r="K372" i="15"/>
  <c r="L422" i="15"/>
  <c r="K647" i="15"/>
  <c r="O264" i="15"/>
  <c r="N317" i="15"/>
  <c r="N315" i="15" s="1"/>
  <c r="I364" i="15"/>
  <c r="M467" i="15"/>
  <c r="L217" i="15"/>
  <c r="O217" i="15" s="1"/>
  <c r="N263" i="15"/>
  <c r="N261" i="15" s="1"/>
  <c r="O336" i="15"/>
  <c r="K355" i="15"/>
  <c r="K649" i="15"/>
  <c r="K440" i="15"/>
  <c r="I434" i="15"/>
  <c r="K462" i="13"/>
  <c r="L658" i="13"/>
  <c r="O658" i="13" s="1"/>
  <c r="L68" i="14"/>
  <c r="O68" i="14" s="1"/>
  <c r="L134" i="14"/>
  <c r="O134" i="14" s="1"/>
  <c r="O120" i="15"/>
  <c r="N134" i="15"/>
  <c r="N132" i="15" s="1"/>
  <c r="N135" i="15"/>
  <c r="L249" i="15"/>
  <c r="L228" i="15"/>
  <c r="M90" i="14"/>
  <c r="M88" i="14" s="1"/>
  <c r="P96" i="14"/>
  <c r="O15" i="15"/>
  <c r="L9" i="15"/>
  <c r="O140" i="14"/>
  <c r="O19" i="15"/>
  <c r="P42" i="15"/>
  <c r="P545" i="15"/>
  <c r="P755" i="15"/>
  <c r="M754" i="15"/>
  <c r="P754" i="15" s="1"/>
  <c r="K708" i="13"/>
  <c r="K723" i="13"/>
  <c r="N15" i="15"/>
  <c r="N19" i="15"/>
  <c r="M23" i="15"/>
  <c r="M21" i="15" s="1"/>
  <c r="M55" i="15"/>
  <c r="P58" i="15"/>
  <c r="M56" i="15"/>
  <c r="P56" i="15" s="1"/>
  <c r="O74" i="15"/>
  <c r="L26" i="15"/>
  <c r="L72" i="15"/>
  <c r="O72" i="15" s="1"/>
  <c r="J592" i="15"/>
  <c r="K592" i="15" s="1"/>
  <c r="K593" i="15"/>
  <c r="L43" i="14"/>
  <c r="L41" i="14" s="1"/>
  <c r="O170" i="14"/>
  <c r="L183" i="14"/>
  <c r="L181" i="14" s="1"/>
  <c r="P29" i="15"/>
  <c r="L43" i="15"/>
  <c r="L23" i="15"/>
  <c r="O46" i="15"/>
  <c r="L44" i="15"/>
  <c r="L68" i="15"/>
  <c r="O68" i="15" s="1"/>
  <c r="N280" i="14"/>
  <c r="N279" i="14"/>
  <c r="N277" i="14" s="1"/>
  <c r="J164" i="15"/>
  <c r="K174" i="15"/>
  <c r="K729" i="13"/>
  <c r="M134" i="14"/>
  <c r="P134" i="14" s="1"/>
  <c r="M167" i="14"/>
  <c r="M165" i="14" s="1"/>
  <c r="P189" i="14"/>
  <c r="M187" i="14"/>
  <c r="P187" i="14" s="1"/>
  <c r="P22" i="15"/>
  <c r="M12" i="15"/>
  <c r="M19" i="15"/>
  <c r="N28" i="15"/>
  <c r="P91" i="15"/>
  <c r="N330" i="15"/>
  <c r="P333" i="15"/>
  <c r="N331" i="15"/>
  <c r="P331" i="15" s="1"/>
  <c r="P397" i="15"/>
  <c r="M395" i="15"/>
  <c r="P395" i="15" s="1"/>
  <c r="M26" i="15"/>
  <c r="M391" i="15"/>
  <c r="P391" i="15" s="1"/>
  <c r="P445" i="15"/>
  <c r="M634" i="15"/>
  <c r="L632" i="15"/>
  <c r="O632" i="15" s="1"/>
  <c r="L631" i="15"/>
  <c r="O634" i="15"/>
  <c r="L33" i="15"/>
  <c r="L31" i="15" s="1"/>
  <c r="N23" i="15"/>
  <c r="O35" i="15"/>
  <c r="N43" i="15"/>
  <c r="O61" i="15"/>
  <c r="M69" i="15"/>
  <c r="P69" i="15" s="1"/>
  <c r="L91" i="15"/>
  <c r="O91" i="15" s="1"/>
  <c r="P140" i="15"/>
  <c r="O150" i="15"/>
  <c r="N168" i="15"/>
  <c r="P168" i="15" s="1"/>
  <c r="N267" i="15"/>
  <c r="P278" i="15"/>
  <c r="N321" i="15"/>
  <c r="L331" i="15"/>
  <c r="L330" i="15"/>
  <c r="L429" i="15"/>
  <c r="O429" i="15" s="1"/>
  <c r="I522" i="15"/>
  <c r="K522" i="15" s="1"/>
  <c r="N547" i="15"/>
  <c r="K355" i="14"/>
  <c r="I364" i="14"/>
  <c r="I434" i="14"/>
  <c r="I418" i="14" s="1"/>
  <c r="K418" i="14" s="1"/>
  <c r="L688" i="14"/>
  <c r="O688" i="14" s="1"/>
  <c r="M34" i="15"/>
  <c r="P34" i="15" s="1"/>
  <c r="N121" i="15"/>
  <c r="N119" i="15" s="1"/>
  <c r="I143" i="15"/>
  <c r="I216" i="15"/>
  <c r="K216" i="15" s="1"/>
  <c r="K224" i="15"/>
  <c r="K236" i="15"/>
  <c r="L279" i="15"/>
  <c r="O279" i="15" s="1"/>
  <c r="O282" i="15"/>
  <c r="L280" i="15"/>
  <c r="O280" i="15" s="1"/>
  <c r="L317" i="15"/>
  <c r="O317" i="15" s="1"/>
  <c r="P329" i="15"/>
  <c r="O445" i="15"/>
  <c r="I442" i="15"/>
  <c r="K442" i="15" s="1"/>
  <c r="K460" i="15"/>
  <c r="P472" i="15"/>
  <c r="M470" i="15"/>
  <c r="P470" i="15" s="1"/>
  <c r="P285" i="14"/>
  <c r="N317" i="14"/>
  <c r="N315" i="14" s="1"/>
  <c r="K700" i="14"/>
  <c r="N31" i="15"/>
  <c r="L168" i="15"/>
  <c r="L167" i="15"/>
  <c r="K197" i="15"/>
  <c r="L209" i="15"/>
  <c r="O209" i="15" s="1"/>
  <c r="I297" i="15"/>
  <c r="K297" i="15" s="1"/>
  <c r="K309" i="15"/>
  <c r="O333" i="15"/>
  <c r="L348" i="15"/>
  <c r="O348" i="15" s="1"/>
  <c r="L347" i="15"/>
  <c r="P403" i="15"/>
  <c r="L404" i="15"/>
  <c r="O407" i="15"/>
  <c r="J433" i="15"/>
  <c r="J417" i="15" s="1"/>
  <c r="I433" i="15"/>
  <c r="K435" i="15"/>
  <c r="N467" i="15"/>
  <c r="O524" i="15"/>
  <c r="M549" i="15"/>
  <c r="L547" i="15"/>
  <c r="O547" i="15" s="1"/>
  <c r="L546" i="15"/>
  <c r="L404" i="14"/>
  <c r="L402" i="14" s="1"/>
  <c r="O402" i="14" s="1"/>
  <c r="L151" i="15"/>
  <c r="O151" i="15" s="1"/>
  <c r="K164" i="15"/>
  <c r="P170" i="15"/>
  <c r="K244" i="15"/>
  <c r="I237" i="15"/>
  <c r="I233" i="15"/>
  <c r="K233" i="15" s="1"/>
  <c r="N392" i="15"/>
  <c r="N391" i="15"/>
  <c r="N389" i="15" s="1"/>
  <c r="M404" i="15"/>
  <c r="P404" i="15" s="1"/>
  <c r="P407" i="15"/>
  <c r="M405" i="15"/>
  <c r="P405" i="15" s="1"/>
  <c r="L446" i="15"/>
  <c r="O446" i="15" s="1"/>
  <c r="O449" i="15"/>
  <c r="M449" i="15"/>
  <c r="L447" i="15"/>
  <c r="O447" i="15" s="1"/>
  <c r="O503" i="15"/>
  <c r="L502" i="15"/>
  <c r="O502" i="15" s="1"/>
  <c r="K594" i="15"/>
  <c r="K628" i="15"/>
  <c r="O787" i="15"/>
  <c r="P394" i="14"/>
  <c r="L405" i="14"/>
  <c r="O405" i="14" s="1"/>
  <c r="L631" i="14"/>
  <c r="O631" i="14" s="1"/>
  <c r="L184" i="15"/>
  <c r="L183" i="15"/>
  <c r="N347" i="15"/>
  <c r="P350" i="15"/>
  <c r="O687" i="15"/>
  <c r="L685" i="15"/>
  <c r="O685" i="15" s="1"/>
  <c r="N756" i="15"/>
  <c r="N754" i="15" s="1"/>
  <c r="N757" i="15"/>
  <c r="P264" i="14"/>
  <c r="K385" i="14"/>
  <c r="P690" i="14"/>
  <c r="O170" i="15"/>
  <c r="P186" i="15"/>
  <c r="O262" i="15"/>
  <c r="P299" i="15"/>
  <c r="L300" i="15"/>
  <c r="O303" i="15"/>
  <c r="O316" i="15"/>
  <c r="O350" i="15"/>
  <c r="N422" i="15"/>
  <c r="N421" i="15"/>
  <c r="N419" i="15" s="1"/>
  <c r="O278" i="15"/>
  <c r="M300" i="15"/>
  <c r="P303" i="15"/>
  <c r="M301" i="15"/>
  <c r="P348" i="15"/>
  <c r="K673" i="15"/>
  <c r="L318" i="15"/>
  <c r="O318" i="15" s="1"/>
  <c r="L526" i="15"/>
  <c r="O526" i="15" s="1"/>
  <c r="L555" i="15"/>
  <c r="O555" i="15" s="1"/>
  <c r="L639" i="15"/>
  <c r="O639" i="15" s="1"/>
  <c r="K674" i="15"/>
  <c r="M685" i="15"/>
  <c r="P685" i="15" s="1"/>
  <c r="L754" i="15"/>
  <c r="O754" i="15" s="1"/>
  <c r="L789" i="15"/>
  <c r="O789" i="15" s="1"/>
  <c r="O807" i="15"/>
  <c r="I654" i="15"/>
  <c r="K654" i="15" s="1"/>
  <c r="K669" i="15"/>
  <c r="M424" i="15"/>
  <c r="M502" i="15"/>
  <c r="P502" i="15" s="1"/>
  <c r="M523" i="15"/>
  <c r="P523" i="15" s="1"/>
  <c r="M786" i="15"/>
  <c r="P786" i="15" s="1"/>
  <c r="L737" i="15"/>
  <c r="O737" i="15" s="1"/>
  <c r="L770" i="15"/>
  <c r="O770" i="15" s="1"/>
  <c r="M805" i="15"/>
  <c r="P805" i="15" s="1"/>
  <c r="L525" i="10"/>
  <c r="O525" i="10" s="1"/>
  <c r="O528" i="10"/>
  <c r="K378" i="12"/>
  <c r="K823" i="12"/>
  <c r="O303" i="13"/>
  <c r="N43" i="14"/>
  <c r="P49" i="14"/>
  <c r="O93" i="14"/>
  <c r="L135" i="14"/>
  <c r="O135" i="14" s="1"/>
  <c r="I143" i="14"/>
  <c r="I131" i="14" s="1"/>
  <c r="K131" i="14" s="1"/>
  <c r="M183" i="14"/>
  <c r="M181" i="14" s="1"/>
  <c r="M304" i="14"/>
  <c r="P304" i="14" s="1"/>
  <c r="M334" i="14"/>
  <c r="P334" i="14" s="1"/>
  <c r="J327" i="14"/>
  <c r="K327" i="14" s="1"/>
  <c r="K369" i="14"/>
  <c r="K379" i="14"/>
  <c r="N391" i="14"/>
  <c r="N389" i="14" s="1"/>
  <c r="L546" i="14"/>
  <c r="O546" i="14" s="1"/>
  <c r="O641" i="14"/>
  <c r="K728" i="14"/>
  <c r="K362" i="11"/>
  <c r="M134" i="13"/>
  <c r="P134" i="13" s="1"/>
  <c r="L90" i="14"/>
  <c r="L88" i="14" s="1"/>
  <c r="J143" i="14"/>
  <c r="J131" i="14" s="1"/>
  <c r="L267" i="14"/>
  <c r="O267" i="14" s="1"/>
  <c r="P323" i="14"/>
  <c r="O348" i="14"/>
  <c r="L632" i="14"/>
  <c r="O632" i="14" s="1"/>
  <c r="J721" i="14"/>
  <c r="K721" i="14" s="1"/>
  <c r="I237" i="4"/>
  <c r="K237" i="4" s="1"/>
  <c r="I275" i="13"/>
  <c r="K275" i="13" s="1"/>
  <c r="N26" i="14"/>
  <c r="N16" i="14" s="1"/>
  <c r="N14" i="14" s="1"/>
  <c r="L167" i="14"/>
  <c r="L165" i="14" s="1"/>
  <c r="L209" i="14"/>
  <c r="O209" i="14" s="1"/>
  <c r="M263" i="14"/>
  <c r="M261" i="14" s="1"/>
  <c r="M301" i="14"/>
  <c r="P301" i="14" s="1"/>
  <c r="L330" i="14"/>
  <c r="L328" i="14" s="1"/>
  <c r="K370" i="14"/>
  <c r="M91" i="14"/>
  <c r="L168" i="14"/>
  <c r="O168" i="14" s="1"/>
  <c r="L217" i="14"/>
  <c r="O217" i="14" s="1"/>
  <c r="M317" i="14"/>
  <c r="P317" i="14" s="1"/>
  <c r="P410" i="14"/>
  <c r="M546" i="14"/>
  <c r="P546" i="14" s="1"/>
  <c r="O690" i="14"/>
  <c r="M68" i="14"/>
  <c r="P68" i="14" s="1"/>
  <c r="P397" i="13"/>
  <c r="M405" i="13"/>
  <c r="P405" i="13" s="1"/>
  <c r="I785" i="13"/>
  <c r="K785" i="13" s="1"/>
  <c r="L69" i="14"/>
  <c r="O69" i="14" s="1"/>
  <c r="M151" i="14"/>
  <c r="M149" i="14" s="1"/>
  <c r="I190" i="14"/>
  <c r="K190" i="14" s="1"/>
  <c r="M318" i="14"/>
  <c r="P318" i="14" s="1"/>
  <c r="K360" i="14"/>
  <c r="M391" i="14"/>
  <c r="P391" i="14" s="1"/>
  <c r="P71" i="14"/>
  <c r="L229" i="14"/>
  <c r="M330" i="14"/>
  <c r="M328" i="14" s="1"/>
  <c r="P59" i="14"/>
  <c r="M347" i="13"/>
  <c r="M345" i="13" s="1"/>
  <c r="L125" i="14"/>
  <c r="O125" i="14" s="1"/>
  <c r="L121" i="13"/>
  <c r="O121" i="13" s="1"/>
  <c r="O59" i="14"/>
  <c r="P186" i="14"/>
  <c r="I233" i="14"/>
  <c r="K233" i="14" s="1"/>
  <c r="K244" i="14"/>
  <c r="K359" i="14"/>
  <c r="L33" i="14"/>
  <c r="O33" i="14" s="1"/>
  <c r="K825" i="14"/>
  <c r="M660" i="14"/>
  <c r="M658" i="14" s="1"/>
  <c r="P658" i="14" s="1"/>
  <c r="K309" i="11"/>
  <c r="P61" i="14"/>
  <c r="M168" i="14"/>
  <c r="P168" i="14" s="1"/>
  <c r="P173" i="14"/>
  <c r="I248" i="14"/>
  <c r="K248" i="14" s="1"/>
  <c r="K340" i="14"/>
  <c r="O660" i="14"/>
  <c r="L657" i="14"/>
  <c r="L655" i="14" s="1"/>
  <c r="O655" i="14" s="1"/>
  <c r="P303" i="11"/>
  <c r="L187" i="13"/>
  <c r="O187" i="13" s="1"/>
  <c r="N404" i="13"/>
  <c r="N402" i="13" s="1"/>
  <c r="P410" i="13"/>
  <c r="L632" i="13"/>
  <c r="O632" i="13" s="1"/>
  <c r="N91" i="14"/>
  <c r="O91" i="14" s="1"/>
  <c r="P170" i="14"/>
  <c r="I174" i="14"/>
  <c r="M331" i="14"/>
  <c r="M347" i="14"/>
  <c r="M345" i="14" s="1"/>
  <c r="K460" i="14"/>
  <c r="K537" i="14"/>
  <c r="J722" i="14"/>
  <c r="K722" i="14" s="1"/>
  <c r="M55" i="14"/>
  <c r="M53" i="14" s="1"/>
  <c r="P93" i="14"/>
  <c r="M183" i="13"/>
  <c r="M181" i="13" s="1"/>
  <c r="L230" i="14"/>
  <c r="I628" i="14"/>
  <c r="K628" i="14" s="1"/>
  <c r="K723" i="14"/>
  <c r="I77" i="14"/>
  <c r="K77" i="14" s="1"/>
  <c r="N167" i="13"/>
  <c r="N165" i="13" s="1"/>
  <c r="M56" i="14"/>
  <c r="N68" i="14"/>
  <c r="N66" i="14" s="1"/>
  <c r="L155" i="14"/>
  <c r="O155" i="14" s="1"/>
  <c r="L321" i="14"/>
  <c r="O321" i="14" s="1"/>
  <c r="K824" i="14"/>
  <c r="O15" i="14"/>
  <c r="N9" i="14"/>
  <c r="P15" i="14"/>
  <c r="O301" i="12"/>
  <c r="N134" i="13"/>
  <c r="N132" i="13" s="1"/>
  <c r="K176" i="13"/>
  <c r="N55" i="14"/>
  <c r="N56" i="14"/>
  <c r="O56" i="14" s="1"/>
  <c r="N300" i="14"/>
  <c r="N298" i="14" s="1"/>
  <c r="N301" i="14"/>
  <c r="O353" i="14"/>
  <c r="L351" i="14"/>
  <c r="L421" i="14"/>
  <c r="L429" i="14"/>
  <c r="O429" i="14" s="1"/>
  <c r="O431" i="14"/>
  <c r="K672" i="14"/>
  <c r="K675" i="14"/>
  <c r="K669" i="14"/>
  <c r="K673" i="14"/>
  <c r="L134" i="12"/>
  <c r="L132" i="12" s="1"/>
  <c r="P301" i="12"/>
  <c r="K828" i="12"/>
  <c r="L33" i="13"/>
  <c r="O33" i="13" s="1"/>
  <c r="L209" i="13"/>
  <c r="O209" i="13" s="1"/>
  <c r="O351" i="13"/>
  <c r="L687" i="13"/>
  <c r="L685" i="13" s="1"/>
  <c r="O685" i="13" s="1"/>
  <c r="L26" i="14"/>
  <c r="O35" i="14"/>
  <c r="M43" i="14"/>
  <c r="P46" i="14"/>
  <c r="M44" i="14"/>
  <c r="P44" i="14" s="1"/>
  <c r="P58" i="14"/>
  <c r="L151" i="14"/>
  <c r="O154" i="14"/>
  <c r="L152" i="14"/>
  <c r="N183" i="14"/>
  <c r="K237" i="14"/>
  <c r="N263" i="14"/>
  <c r="L279" i="14"/>
  <c r="O279" i="14" s="1"/>
  <c r="L280" i="14"/>
  <c r="O280" i="14" s="1"/>
  <c r="O316" i="14"/>
  <c r="L317" i="14"/>
  <c r="O317" i="14" s="1"/>
  <c r="O320" i="14"/>
  <c r="L318" i="14"/>
  <c r="O318" i="14" s="1"/>
  <c r="M404" i="14"/>
  <c r="P404" i="14" s="1"/>
  <c r="P407" i="14"/>
  <c r="O445" i="14"/>
  <c r="P468" i="14"/>
  <c r="K538" i="14"/>
  <c r="J537" i="14"/>
  <c r="J522" i="14" s="1"/>
  <c r="N90" i="12"/>
  <c r="N88" i="12" s="1"/>
  <c r="I233" i="12"/>
  <c r="K233" i="12" s="1"/>
  <c r="M279" i="14"/>
  <c r="P279" i="14" s="1"/>
  <c r="P282" i="14"/>
  <c r="M280" i="14"/>
  <c r="P280" i="14" s="1"/>
  <c r="K288" i="14"/>
  <c r="J288" i="14"/>
  <c r="J275" i="14" s="1"/>
  <c r="I275" i="14"/>
  <c r="K275" i="14" s="1"/>
  <c r="P333" i="14"/>
  <c r="N331" i="14"/>
  <c r="O331" i="14" s="1"/>
  <c r="O333" i="14"/>
  <c r="N330" i="14"/>
  <c r="N328" i="14" s="1"/>
  <c r="P353" i="14"/>
  <c r="N351" i="14"/>
  <c r="P351" i="14" s="1"/>
  <c r="N404" i="14"/>
  <c r="N402" i="14" s="1"/>
  <c r="N405" i="14"/>
  <c r="P445" i="14"/>
  <c r="M444" i="14"/>
  <c r="P444" i="14" s="1"/>
  <c r="L446" i="14"/>
  <c r="O446" i="14" s="1"/>
  <c r="O449" i="14"/>
  <c r="L447" i="14"/>
  <c r="O447" i="14" s="1"/>
  <c r="L446" i="11"/>
  <c r="O446" i="11" s="1"/>
  <c r="M391" i="12"/>
  <c r="P391" i="12" s="1"/>
  <c r="P49" i="13"/>
  <c r="I76" i="13"/>
  <c r="K76" i="13" s="1"/>
  <c r="K244" i="13"/>
  <c r="P264" i="13"/>
  <c r="M549" i="13"/>
  <c r="M547" i="13" s="1"/>
  <c r="P547" i="13" s="1"/>
  <c r="I628" i="13"/>
  <c r="K628" i="13" s="1"/>
  <c r="M19" i="14"/>
  <c r="O29" i="14"/>
  <c r="M34" i="14"/>
  <c r="P34" i="14" s="1"/>
  <c r="L36" i="14"/>
  <c r="O46" i="14"/>
  <c r="P54" i="14"/>
  <c r="O61" i="14"/>
  <c r="P120" i="14"/>
  <c r="M125" i="14"/>
  <c r="P125" i="14" s="1"/>
  <c r="M135" i="14"/>
  <c r="P135" i="14" s="1"/>
  <c r="O137" i="14"/>
  <c r="P154" i="14"/>
  <c r="N152" i="14"/>
  <c r="P152" i="14" s="1"/>
  <c r="O186" i="14"/>
  <c r="P278" i="14"/>
  <c r="L347" i="14"/>
  <c r="J433" i="14"/>
  <c r="J417" i="14" s="1"/>
  <c r="I433" i="14"/>
  <c r="P547" i="14"/>
  <c r="M770" i="14"/>
  <c r="P770" i="14" s="1"/>
  <c r="P772" i="14"/>
  <c r="I208" i="3"/>
  <c r="K208" i="3" s="1"/>
  <c r="M391" i="10"/>
  <c r="P391" i="10" s="1"/>
  <c r="P410" i="12"/>
  <c r="M43" i="13"/>
  <c r="M41" i="13" s="1"/>
  <c r="K78" i="13"/>
  <c r="L267" i="13"/>
  <c r="O267" i="13" s="1"/>
  <c r="M424" i="13"/>
  <c r="P424" i="13" s="1"/>
  <c r="M690" i="13"/>
  <c r="M687" i="13" s="1"/>
  <c r="M685" i="13" s="1"/>
  <c r="P685" i="13" s="1"/>
  <c r="L788" i="13"/>
  <c r="O788" i="13" s="1"/>
  <c r="O791" i="13"/>
  <c r="L12" i="14"/>
  <c r="P22" i="14"/>
  <c r="L44" i="14"/>
  <c r="O44" i="14" s="1"/>
  <c r="I76" i="14"/>
  <c r="K78" i="14"/>
  <c r="N135" i="14"/>
  <c r="N167" i="14"/>
  <c r="O173" i="14"/>
  <c r="L171" i="14"/>
  <c r="O171" i="14" s="1"/>
  <c r="N184" i="14"/>
  <c r="O184" i="14" s="1"/>
  <c r="O282" i="14"/>
  <c r="K309" i="14"/>
  <c r="K338" i="14"/>
  <c r="N347" i="14"/>
  <c r="N345" i="14" s="1"/>
  <c r="P350" i="14"/>
  <c r="O350" i="14"/>
  <c r="K435" i="14"/>
  <c r="K440" i="14"/>
  <c r="P524" i="14"/>
  <c r="M523" i="14"/>
  <c r="P523" i="14" s="1"/>
  <c r="L555" i="14"/>
  <c r="O555" i="14" s="1"/>
  <c r="O557" i="14"/>
  <c r="K674" i="14"/>
  <c r="J721" i="9"/>
  <c r="K721" i="9" s="1"/>
  <c r="P394" i="12"/>
  <c r="N90" i="13"/>
  <c r="N88" i="13" s="1"/>
  <c r="L125" i="13"/>
  <c r="O125" i="13" s="1"/>
  <c r="L447" i="13"/>
  <c r="O447" i="13" s="1"/>
  <c r="L470" i="13"/>
  <c r="O470" i="13" s="1"/>
  <c r="O549" i="13"/>
  <c r="M12" i="14"/>
  <c r="L23" i="14"/>
  <c r="L21" i="14" s="1"/>
  <c r="O42" i="14"/>
  <c r="P74" i="14"/>
  <c r="M26" i="14"/>
  <c r="M24" i="14" s="1"/>
  <c r="M72" i="14"/>
  <c r="P72" i="14" s="1"/>
  <c r="N90" i="14"/>
  <c r="N88" i="14" s="1"/>
  <c r="O96" i="14"/>
  <c r="L94" i="14"/>
  <c r="O94" i="14" s="1"/>
  <c r="O120" i="14"/>
  <c r="I216" i="14"/>
  <c r="K216" i="14" s="1"/>
  <c r="K224" i="14"/>
  <c r="P262" i="14"/>
  <c r="L263" i="14"/>
  <c r="O266" i="14"/>
  <c r="L264" i="14"/>
  <c r="O264" i="14" s="1"/>
  <c r="I276" i="14"/>
  <c r="K276" i="14" s="1"/>
  <c r="O397" i="14"/>
  <c r="L395" i="14"/>
  <c r="O395" i="14" s="1"/>
  <c r="M405" i="14"/>
  <c r="P405" i="14" s="1"/>
  <c r="M395" i="10"/>
  <c r="P395" i="10" s="1"/>
  <c r="I148" i="13"/>
  <c r="K148" i="13" s="1"/>
  <c r="N183" i="13"/>
  <c r="N181" i="13" s="1"/>
  <c r="P189" i="13"/>
  <c r="O424" i="13"/>
  <c r="M23" i="14"/>
  <c r="M21" i="14" s="1"/>
  <c r="P25" i="14"/>
  <c r="L55" i="14"/>
  <c r="O58" i="14"/>
  <c r="L121" i="14"/>
  <c r="O121" i="14" s="1"/>
  <c r="O124" i="14"/>
  <c r="L122" i="14"/>
  <c r="O122" i="14" s="1"/>
  <c r="P150" i="14"/>
  <c r="P299" i="14"/>
  <c r="O303" i="14"/>
  <c r="L301" i="14"/>
  <c r="O301" i="14" s="1"/>
  <c r="L300" i="14"/>
  <c r="O336" i="14"/>
  <c r="L334" i="14"/>
  <c r="O334" i="14" s="1"/>
  <c r="N23" i="14"/>
  <c r="I112" i="14"/>
  <c r="K112" i="14" s="1"/>
  <c r="N121" i="14"/>
  <c r="N119" i="14" s="1"/>
  <c r="K146" i="14"/>
  <c r="L198" i="14"/>
  <c r="O198" i="14" s="1"/>
  <c r="O306" i="14"/>
  <c r="L304" i="14"/>
  <c r="O304" i="14" s="1"/>
  <c r="O394" i="14"/>
  <c r="L392" i="14"/>
  <c r="O392" i="14" s="1"/>
  <c r="L391" i="14"/>
  <c r="O410" i="14"/>
  <c r="L408" i="14"/>
  <c r="O408" i="14" s="1"/>
  <c r="L249" i="14"/>
  <c r="O249" i="14" s="1"/>
  <c r="K260" i="14"/>
  <c r="P266" i="14"/>
  <c r="P348" i="14"/>
  <c r="P390" i="14"/>
  <c r="P397" i="14"/>
  <c r="N446" i="14"/>
  <c r="N447" i="14"/>
  <c r="P755" i="14"/>
  <c r="M754" i="14"/>
  <c r="P754" i="14" s="1"/>
  <c r="P403" i="14"/>
  <c r="I443" i="14"/>
  <c r="K443" i="14" s="1"/>
  <c r="O503" i="14"/>
  <c r="L502" i="14"/>
  <c r="O502" i="14" s="1"/>
  <c r="L525" i="14"/>
  <c r="O525" i="14" s="1"/>
  <c r="O528" i="14"/>
  <c r="O656" i="14"/>
  <c r="N754" i="14"/>
  <c r="O189" i="14"/>
  <c r="L187" i="14"/>
  <c r="O187" i="14" s="1"/>
  <c r="P303" i="14"/>
  <c r="P316" i="14"/>
  <c r="K365" i="14"/>
  <c r="P503" i="14"/>
  <c r="M502" i="14"/>
  <c r="P502" i="14" s="1"/>
  <c r="N525" i="14"/>
  <c r="N523" i="14" s="1"/>
  <c r="N526" i="14"/>
  <c r="L238" i="14"/>
  <c r="O278" i="14"/>
  <c r="K372" i="14"/>
  <c r="J374" i="14"/>
  <c r="K374" i="14" s="1"/>
  <c r="K381" i="14"/>
  <c r="P420" i="14"/>
  <c r="K466" i="14"/>
  <c r="N655" i="14"/>
  <c r="M737" i="14"/>
  <c r="P737" i="14" s="1"/>
  <c r="P739" i="14"/>
  <c r="N756" i="14"/>
  <c r="N757" i="14"/>
  <c r="O787" i="14"/>
  <c r="P787" i="14"/>
  <c r="M786" i="14"/>
  <c r="P786" i="14" s="1"/>
  <c r="K821" i="14"/>
  <c r="N504" i="14"/>
  <c r="N502" i="14" s="1"/>
  <c r="N505" i="14"/>
  <c r="O424" i="14"/>
  <c r="M424" i="14"/>
  <c r="L422" i="14"/>
  <c r="O422" i="14" s="1"/>
  <c r="N444" i="14"/>
  <c r="O468" i="14"/>
  <c r="L469" i="14"/>
  <c r="O469" i="14" s="1"/>
  <c r="O472" i="14"/>
  <c r="M472" i="14"/>
  <c r="L470" i="14"/>
  <c r="O470" i="14" s="1"/>
  <c r="O524" i="14"/>
  <c r="K593" i="14"/>
  <c r="J592" i="14"/>
  <c r="K592" i="14" s="1"/>
  <c r="M629" i="14"/>
  <c r="P629" i="14" s="1"/>
  <c r="P631" i="14"/>
  <c r="L788" i="14"/>
  <c r="O788" i="14" s="1"/>
  <c r="O791" i="14"/>
  <c r="L789" i="14"/>
  <c r="O789" i="14" s="1"/>
  <c r="L687" i="14"/>
  <c r="L754" i="14"/>
  <c r="O754" i="14" s="1"/>
  <c r="O807" i="14"/>
  <c r="L454" i="14"/>
  <c r="O454" i="14" s="1"/>
  <c r="L533" i="14"/>
  <c r="O533" i="14" s="1"/>
  <c r="L477" i="14"/>
  <c r="O477" i="14" s="1"/>
  <c r="L737" i="14"/>
  <c r="O737" i="14" s="1"/>
  <c r="L770" i="14"/>
  <c r="O770" i="14" s="1"/>
  <c r="M805" i="14"/>
  <c r="P805" i="14" s="1"/>
  <c r="M395" i="12"/>
  <c r="P395" i="12" s="1"/>
  <c r="M404" i="12"/>
  <c r="P404" i="12" s="1"/>
  <c r="O186" i="13"/>
  <c r="K287" i="13"/>
  <c r="L318" i="13"/>
  <c r="O318" i="13" s="1"/>
  <c r="I276" i="11"/>
  <c r="K276" i="11" s="1"/>
  <c r="P301" i="13"/>
  <c r="P320" i="13"/>
  <c r="M330" i="13"/>
  <c r="M328" i="13" s="1"/>
  <c r="K821" i="13"/>
  <c r="K824" i="13"/>
  <c r="O58" i="11"/>
  <c r="N55" i="13"/>
  <c r="N53" i="13" s="1"/>
  <c r="N184" i="13"/>
  <c r="P184" i="13" s="1"/>
  <c r="O266" i="13"/>
  <c r="K288" i="13"/>
  <c r="L321" i="13"/>
  <c r="O321" i="13" s="1"/>
  <c r="O353" i="13"/>
  <c r="K338" i="12"/>
  <c r="K359" i="12"/>
  <c r="O71" i="13"/>
  <c r="P124" i="13"/>
  <c r="L167" i="13"/>
  <c r="L165" i="13" s="1"/>
  <c r="P266" i="13"/>
  <c r="M279" i="13"/>
  <c r="M277" i="13" s="1"/>
  <c r="P277" i="13" s="1"/>
  <c r="K340" i="13"/>
  <c r="K825" i="13"/>
  <c r="O96" i="13"/>
  <c r="O173" i="13"/>
  <c r="N279" i="13"/>
  <c r="N277" i="13" s="1"/>
  <c r="J433" i="13"/>
  <c r="J417" i="13" s="1"/>
  <c r="L546" i="13"/>
  <c r="L544" i="13" s="1"/>
  <c r="O544" i="13" s="1"/>
  <c r="M660" i="13"/>
  <c r="M657" i="13" s="1"/>
  <c r="M655" i="13" s="1"/>
  <c r="P655" i="13" s="1"/>
  <c r="M121" i="13"/>
  <c r="M119" i="13" s="1"/>
  <c r="P119" i="13" s="1"/>
  <c r="O140" i="13"/>
  <c r="L231" i="13"/>
  <c r="M267" i="13"/>
  <c r="P267" i="13" s="1"/>
  <c r="L657" i="13"/>
  <c r="L655" i="13" s="1"/>
  <c r="O655" i="13" s="1"/>
  <c r="N391" i="12"/>
  <c r="N389" i="12" s="1"/>
  <c r="K825" i="12"/>
  <c r="N26" i="13"/>
  <c r="N16" i="13" s="1"/>
  <c r="P186" i="13"/>
  <c r="L217" i="13"/>
  <c r="O217" i="13" s="1"/>
  <c r="K827" i="13"/>
  <c r="I785" i="11"/>
  <c r="K785" i="11" s="1"/>
  <c r="K176" i="12"/>
  <c r="K255" i="12"/>
  <c r="I364" i="12"/>
  <c r="M59" i="13"/>
  <c r="P59" i="13" s="1"/>
  <c r="O61" i="13"/>
  <c r="M72" i="13"/>
  <c r="P72" i="13" s="1"/>
  <c r="I87" i="13"/>
  <c r="K87" i="13" s="1"/>
  <c r="N91" i="13"/>
  <c r="P91" i="13" s="1"/>
  <c r="P96" i="13"/>
  <c r="P154" i="13"/>
  <c r="N168" i="13"/>
  <c r="O168" i="13" s="1"/>
  <c r="P173" i="13"/>
  <c r="I216" i="13"/>
  <c r="K216" i="13" s="1"/>
  <c r="L280" i="13"/>
  <c r="O280" i="13" s="1"/>
  <c r="P282" i="13"/>
  <c r="O306" i="13"/>
  <c r="N405" i="13"/>
  <c r="O96" i="12"/>
  <c r="L789" i="12"/>
  <c r="O789" i="12" s="1"/>
  <c r="O791" i="12"/>
  <c r="N56" i="13"/>
  <c r="O56" i="13" s="1"/>
  <c r="L151" i="13"/>
  <c r="L149" i="13" s="1"/>
  <c r="L155" i="13"/>
  <c r="O155" i="13" s="1"/>
  <c r="K164" i="13"/>
  <c r="M283" i="13"/>
  <c r="P283" i="13" s="1"/>
  <c r="P306" i="13"/>
  <c r="J327" i="13"/>
  <c r="K327" i="13" s="1"/>
  <c r="K700" i="13"/>
  <c r="I443" i="12"/>
  <c r="K443" i="12" s="1"/>
  <c r="L446" i="12"/>
  <c r="O446" i="12" s="1"/>
  <c r="O456" i="12"/>
  <c r="L469" i="12"/>
  <c r="O469" i="12" s="1"/>
  <c r="N23" i="13"/>
  <c r="N21" i="13" s="1"/>
  <c r="P46" i="13"/>
  <c r="O49" i="13"/>
  <c r="I77" i="13"/>
  <c r="I65" i="13" s="1"/>
  <c r="K65" i="13" s="1"/>
  <c r="L230" i="13"/>
  <c r="L334" i="13"/>
  <c r="O334" i="13" s="1"/>
  <c r="N43" i="13"/>
  <c r="N41" i="13" s="1"/>
  <c r="K98" i="13"/>
  <c r="L122" i="13"/>
  <c r="O122" i="13" s="1"/>
  <c r="P137" i="13"/>
  <c r="P336" i="13"/>
  <c r="P351" i="13"/>
  <c r="L55" i="13"/>
  <c r="L68" i="13"/>
  <c r="L66" i="13" s="1"/>
  <c r="P140" i="13"/>
  <c r="K338" i="13"/>
  <c r="P350" i="13"/>
  <c r="L446" i="13"/>
  <c r="O446" i="13" s="1"/>
  <c r="O456" i="13"/>
  <c r="K728" i="12"/>
  <c r="O93" i="13"/>
  <c r="P303" i="13"/>
  <c r="K385" i="13"/>
  <c r="J537" i="13"/>
  <c r="J522" i="13" s="1"/>
  <c r="I522" i="13"/>
  <c r="K522" i="13" s="1"/>
  <c r="K576" i="13"/>
  <c r="I559" i="13"/>
  <c r="P71" i="13"/>
  <c r="K100" i="13"/>
  <c r="I112" i="13"/>
  <c r="K112" i="13" s="1"/>
  <c r="N300" i="13"/>
  <c r="N298" i="13" s="1"/>
  <c r="I364" i="13"/>
  <c r="K364" i="13" s="1"/>
  <c r="K537" i="13"/>
  <c r="L631" i="13"/>
  <c r="O631" i="13" s="1"/>
  <c r="L639" i="13"/>
  <c r="O639" i="13" s="1"/>
  <c r="O641" i="13"/>
  <c r="L36" i="13"/>
  <c r="L34" i="13" s="1"/>
  <c r="O34" i="13" s="1"/>
  <c r="L391" i="13"/>
  <c r="O391" i="13" s="1"/>
  <c r="N391" i="13"/>
  <c r="N389" i="13" s="1"/>
  <c r="I433" i="13"/>
  <c r="I417" i="13" s="1"/>
  <c r="L392" i="13"/>
  <c r="O392" i="13" s="1"/>
  <c r="O422" i="13"/>
  <c r="K822" i="13"/>
  <c r="M404" i="13"/>
  <c r="P404" i="13" s="1"/>
  <c r="K435" i="13"/>
  <c r="J721" i="13"/>
  <c r="K721" i="13" s="1"/>
  <c r="K826" i="13"/>
  <c r="O19" i="13"/>
  <c r="M23" i="12"/>
  <c r="M21" i="12" s="1"/>
  <c r="O61" i="12"/>
  <c r="L122" i="12"/>
  <c r="O122" i="12" s="1"/>
  <c r="P320" i="12"/>
  <c r="N392" i="12"/>
  <c r="N15" i="13"/>
  <c r="N19" i="13"/>
  <c r="P29" i="13"/>
  <c r="K237" i="13"/>
  <c r="L279" i="13"/>
  <c r="O285" i="13"/>
  <c r="L283" i="13"/>
  <c r="O283" i="13" s="1"/>
  <c r="K325" i="13"/>
  <c r="I314" i="13"/>
  <c r="K314" i="13" s="1"/>
  <c r="L404" i="13"/>
  <c r="O404" i="13" s="1"/>
  <c r="O407" i="13"/>
  <c r="L405" i="13"/>
  <c r="O405" i="13" s="1"/>
  <c r="K708" i="10"/>
  <c r="L228" i="11"/>
  <c r="O264" i="11"/>
  <c r="M300" i="11"/>
  <c r="P300" i="11" s="1"/>
  <c r="L321" i="12"/>
  <c r="O321" i="12" s="1"/>
  <c r="K821" i="12"/>
  <c r="K824" i="12"/>
  <c r="N28" i="13"/>
  <c r="K174" i="13"/>
  <c r="L198" i="13"/>
  <c r="O198" i="13" s="1"/>
  <c r="L249" i="13"/>
  <c r="O249" i="13" s="1"/>
  <c r="M408" i="11"/>
  <c r="P408" i="11" s="1"/>
  <c r="O74" i="12"/>
  <c r="L231" i="12"/>
  <c r="O285" i="12"/>
  <c r="L304" i="12"/>
  <c r="O304" i="12" s="1"/>
  <c r="I434" i="12"/>
  <c r="I418" i="12" s="1"/>
  <c r="K418" i="12" s="1"/>
  <c r="L547" i="12"/>
  <c r="J721" i="12"/>
  <c r="K721" i="12" s="1"/>
  <c r="P22" i="13"/>
  <c r="M12" i="13"/>
  <c r="M19" i="13"/>
  <c r="P133" i="13"/>
  <c r="K379" i="11"/>
  <c r="K827" i="11"/>
  <c r="I130" i="12"/>
  <c r="K130" i="12" s="1"/>
  <c r="P353" i="12"/>
  <c r="K372" i="12"/>
  <c r="L391" i="12"/>
  <c r="O391" i="12" s="1"/>
  <c r="K822" i="12"/>
  <c r="M23" i="13"/>
  <c r="M55" i="13"/>
  <c r="M53" i="13" s="1"/>
  <c r="P58" i="13"/>
  <c r="M56" i="13"/>
  <c r="L134" i="13"/>
  <c r="O134" i="13" s="1"/>
  <c r="O137" i="13"/>
  <c r="L135" i="13"/>
  <c r="O135" i="13" s="1"/>
  <c r="I130" i="13"/>
  <c r="K130" i="13" s="1"/>
  <c r="K146" i="13"/>
  <c r="M167" i="13"/>
  <c r="P170" i="13"/>
  <c r="M168" i="13"/>
  <c r="I443" i="11"/>
  <c r="K443" i="11" s="1"/>
  <c r="P137" i="12"/>
  <c r="L209" i="12"/>
  <c r="O209" i="12" s="1"/>
  <c r="L217" i="12"/>
  <c r="O217" i="12" s="1"/>
  <c r="J364" i="12"/>
  <c r="K725" i="12"/>
  <c r="P157" i="13"/>
  <c r="M155" i="13"/>
  <c r="P155" i="13" s="1"/>
  <c r="L238" i="13"/>
  <c r="L228" i="13"/>
  <c r="O431" i="13"/>
  <c r="L429" i="13"/>
  <c r="O429" i="13" s="1"/>
  <c r="I76" i="12"/>
  <c r="I64" i="12" s="1"/>
  <c r="K64" i="12" s="1"/>
  <c r="I87" i="12"/>
  <c r="K87" i="12" s="1"/>
  <c r="I314" i="12"/>
  <c r="K314" i="12" s="1"/>
  <c r="O74" i="13"/>
  <c r="L26" i="13"/>
  <c r="L24" i="13" s="1"/>
  <c r="L72" i="13"/>
  <c r="O72" i="13" s="1"/>
  <c r="P127" i="13"/>
  <c r="M125" i="13"/>
  <c r="P125" i="13" s="1"/>
  <c r="L421" i="13"/>
  <c r="P170" i="12"/>
  <c r="K379" i="12"/>
  <c r="K385" i="12"/>
  <c r="K726" i="12"/>
  <c r="K827" i="12"/>
  <c r="P42" i="13"/>
  <c r="L43" i="13"/>
  <c r="L41" i="13" s="1"/>
  <c r="L23" i="13"/>
  <c r="L21" i="13" s="1"/>
  <c r="O46" i="13"/>
  <c r="L44" i="13"/>
  <c r="M151" i="13"/>
  <c r="L15" i="13"/>
  <c r="N31" i="13"/>
  <c r="M68" i="13"/>
  <c r="L90" i="13"/>
  <c r="P93" i="13"/>
  <c r="N121" i="13"/>
  <c r="N119" i="13" s="1"/>
  <c r="I143" i="13"/>
  <c r="N151" i="13"/>
  <c r="N149" i="13" s="1"/>
  <c r="L183" i="13"/>
  <c r="L184" i="13"/>
  <c r="I233" i="13"/>
  <c r="K233" i="13" s="1"/>
  <c r="L229" i="13"/>
  <c r="L263" i="13"/>
  <c r="M300" i="13"/>
  <c r="M321" i="13"/>
  <c r="P321" i="13" s="1"/>
  <c r="O329" i="13"/>
  <c r="M348" i="13"/>
  <c r="L525" i="13"/>
  <c r="O525" i="13" s="1"/>
  <c r="O528" i="13"/>
  <c r="L526" i="13"/>
  <c r="O526" i="13" s="1"/>
  <c r="P755" i="13"/>
  <c r="M754" i="13"/>
  <c r="P754" i="13" s="1"/>
  <c r="L12" i="13"/>
  <c r="M15" i="13"/>
  <c r="O58" i="13"/>
  <c r="N68" i="13"/>
  <c r="N66" i="13" s="1"/>
  <c r="M90" i="13"/>
  <c r="J143" i="13"/>
  <c r="J131" i="13" s="1"/>
  <c r="O170" i="13"/>
  <c r="M263" i="13"/>
  <c r="L300" i="13"/>
  <c r="L301" i="13"/>
  <c r="O301" i="13" s="1"/>
  <c r="L317" i="13"/>
  <c r="L330" i="13"/>
  <c r="O333" i="13"/>
  <c r="P346" i="13"/>
  <c r="P353" i="13"/>
  <c r="M392" i="13"/>
  <c r="P392" i="13" s="1"/>
  <c r="M391" i="13"/>
  <c r="P503" i="13"/>
  <c r="M502" i="13"/>
  <c r="P502" i="13" s="1"/>
  <c r="K594" i="13"/>
  <c r="N44" i="13"/>
  <c r="P44" i="13" s="1"/>
  <c r="N263" i="13"/>
  <c r="N261" i="13" s="1"/>
  <c r="M317" i="13"/>
  <c r="P333" i="13"/>
  <c r="O397" i="13"/>
  <c r="L395" i="13"/>
  <c r="O395" i="13" s="1"/>
  <c r="O445" i="13"/>
  <c r="K672" i="13"/>
  <c r="K675" i="13"/>
  <c r="K669" i="13"/>
  <c r="K674" i="13"/>
  <c r="I654" i="13"/>
  <c r="K654" i="13" s="1"/>
  <c r="N12" i="13"/>
  <c r="M26" i="13"/>
  <c r="M24" i="13" s="1"/>
  <c r="I208" i="13"/>
  <c r="K208" i="13" s="1"/>
  <c r="N317" i="13"/>
  <c r="N315" i="13" s="1"/>
  <c r="N330" i="13"/>
  <c r="N331" i="13"/>
  <c r="O331" i="13" s="1"/>
  <c r="J364" i="13"/>
  <c r="O403" i="13"/>
  <c r="O557" i="13"/>
  <c r="L555" i="13"/>
  <c r="O555" i="13" s="1"/>
  <c r="O299" i="13"/>
  <c r="L347" i="13"/>
  <c r="O350" i="13"/>
  <c r="P403" i="13"/>
  <c r="N504" i="13"/>
  <c r="N502" i="13" s="1"/>
  <c r="N414" i="13" s="1"/>
  <c r="N505" i="13"/>
  <c r="K593" i="13"/>
  <c r="J592" i="13"/>
  <c r="K592" i="13" s="1"/>
  <c r="N756" i="13"/>
  <c r="N754" i="13" s="1"/>
  <c r="N757" i="13"/>
  <c r="O787" i="13"/>
  <c r="N152" i="13"/>
  <c r="O154" i="13"/>
  <c r="K193" i="13"/>
  <c r="O264" i="13"/>
  <c r="I442" i="13"/>
  <c r="K442" i="13" s="1"/>
  <c r="K460" i="13"/>
  <c r="N69" i="13"/>
  <c r="O69" i="13" s="1"/>
  <c r="K271" i="13"/>
  <c r="I260" i="13"/>
  <c r="K260" i="13" s="1"/>
  <c r="P329" i="13"/>
  <c r="N347" i="13"/>
  <c r="N348" i="13"/>
  <c r="O348" i="13" s="1"/>
  <c r="K374" i="13"/>
  <c r="P524" i="13"/>
  <c r="M523" i="13"/>
  <c r="P523" i="13" s="1"/>
  <c r="P545" i="13"/>
  <c r="K725" i="13"/>
  <c r="P446" i="13"/>
  <c r="N688" i="13"/>
  <c r="P788" i="13"/>
  <c r="P469" i="13"/>
  <c r="L502" i="13"/>
  <c r="O502" i="13" s="1"/>
  <c r="L754" i="13"/>
  <c r="O754" i="13" s="1"/>
  <c r="O807" i="13"/>
  <c r="L533" i="13"/>
  <c r="O533" i="13" s="1"/>
  <c r="I434" i="13"/>
  <c r="L469" i="13"/>
  <c r="L477" i="13"/>
  <c r="O477" i="13" s="1"/>
  <c r="L737" i="13"/>
  <c r="O737" i="13" s="1"/>
  <c r="L770" i="13"/>
  <c r="O770" i="13" s="1"/>
  <c r="M805" i="13"/>
  <c r="P805" i="13" s="1"/>
  <c r="K174" i="12"/>
  <c r="I164" i="12"/>
  <c r="K164" i="12" s="1"/>
  <c r="K728" i="10"/>
  <c r="L230" i="11"/>
  <c r="N91" i="12"/>
  <c r="M134" i="12"/>
  <c r="M132" i="12" s="1"/>
  <c r="P154" i="12"/>
  <c r="N167" i="12"/>
  <c r="N165" i="12" s="1"/>
  <c r="P266" i="12"/>
  <c r="N317" i="12"/>
  <c r="N315" i="12" s="1"/>
  <c r="M330" i="12"/>
  <c r="M328" i="12" s="1"/>
  <c r="O535" i="12"/>
  <c r="L688" i="12"/>
  <c r="N90" i="11"/>
  <c r="N88" i="11" s="1"/>
  <c r="N134" i="12"/>
  <c r="P138" i="12"/>
  <c r="N151" i="12"/>
  <c r="N149" i="12" s="1"/>
  <c r="P336" i="12"/>
  <c r="K800" i="12"/>
  <c r="L318" i="11"/>
  <c r="O318" i="11" s="1"/>
  <c r="L347" i="11"/>
  <c r="L345" i="11" s="1"/>
  <c r="K78" i="12"/>
  <c r="M135" i="12"/>
  <c r="P135" i="12" s="1"/>
  <c r="K370" i="12"/>
  <c r="K440" i="12"/>
  <c r="J722" i="12"/>
  <c r="K722" i="12" s="1"/>
  <c r="L55" i="12"/>
  <c r="L53" i="12" s="1"/>
  <c r="L121" i="12"/>
  <c r="L119" i="12" s="1"/>
  <c r="O119" i="12" s="1"/>
  <c r="N183" i="12"/>
  <c r="N181" i="12" s="1"/>
  <c r="N263" i="12"/>
  <c r="N261" i="12" s="1"/>
  <c r="P350" i="12"/>
  <c r="K355" i="12"/>
  <c r="L408" i="12"/>
  <c r="O408" i="12" s="1"/>
  <c r="O641" i="12"/>
  <c r="N55" i="9"/>
  <c r="N53" i="9" s="1"/>
  <c r="P173" i="11"/>
  <c r="K649" i="11"/>
  <c r="N55" i="12"/>
  <c r="N53" i="12" s="1"/>
  <c r="O58" i="12"/>
  <c r="P93" i="12"/>
  <c r="N121" i="12"/>
  <c r="N119" i="12" s="1"/>
  <c r="L228" i="12"/>
  <c r="P285" i="12"/>
  <c r="I297" i="12"/>
  <c r="K297" i="12" s="1"/>
  <c r="M351" i="12"/>
  <c r="P351" i="12" s="1"/>
  <c r="K381" i="12"/>
  <c r="L447" i="12"/>
  <c r="O447" i="12" s="1"/>
  <c r="O549" i="12"/>
  <c r="I559" i="12"/>
  <c r="P56" i="12"/>
  <c r="L238" i="12"/>
  <c r="O238" i="12" s="1"/>
  <c r="M279" i="12"/>
  <c r="P279" i="12" s="1"/>
  <c r="M348" i="12"/>
  <c r="M405" i="12"/>
  <c r="P405" i="12" s="1"/>
  <c r="O137" i="12"/>
  <c r="K362" i="12"/>
  <c r="M392" i="12"/>
  <c r="P392" i="12" s="1"/>
  <c r="O394" i="12"/>
  <c r="K700" i="12"/>
  <c r="K723" i="12"/>
  <c r="P264" i="12"/>
  <c r="L217" i="11"/>
  <c r="O217" i="11" s="1"/>
  <c r="P424" i="11"/>
  <c r="O46" i="12"/>
  <c r="M59" i="12"/>
  <c r="P59" i="12" s="1"/>
  <c r="K216" i="12"/>
  <c r="K224" i="12"/>
  <c r="M331" i="12"/>
  <c r="L421" i="12"/>
  <c r="O421" i="12" s="1"/>
  <c r="O424" i="12"/>
  <c r="P549" i="12"/>
  <c r="K651" i="12"/>
  <c r="P397" i="11"/>
  <c r="L43" i="12"/>
  <c r="L41" i="12" s="1"/>
  <c r="P46" i="12"/>
  <c r="P124" i="12"/>
  <c r="P140" i="12"/>
  <c r="L171" i="12"/>
  <c r="O171" i="12" s="1"/>
  <c r="P186" i="12"/>
  <c r="K193" i="12"/>
  <c r="I260" i="12"/>
  <c r="K260" i="12" s="1"/>
  <c r="K365" i="12"/>
  <c r="O472" i="12"/>
  <c r="L657" i="12"/>
  <c r="L655" i="12" s="1"/>
  <c r="O655" i="12" s="1"/>
  <c r="O660" i="12"/>
  <c r="L33" i="12"/>
  <c r="O33" i="12" s="1"/>
  <c r="O140" i="12"/>
  <c r="P173" i="12"/>
  <c r="O189" i="12"/>
  <c r="L229" i="12"/>
  <c r="M304" i="12"/>
  <c r="P304" i="12" s="1"/>
  <c r="M321" i="12"/>
  <c r="P321" i="12" s="1"/>
  <c r="K340" i="12"/>
  <c r="L422" i="12"/>
  <c r="O422" i="12" s="1"/>
  <c r="K460" i="12"/>
  <c r="L470" i="12"/>
  <c r="O470" i="12" s="1"/>
  <c r="K537" i="12"/>
  <c r="M547" i="12"/>
  <c r="M690" i="12"/>
  <c r="M90" i="12"/>
  <c r="M167" i="12"/>
  <c r="P189" i="12"/>
  <c r="J288" i="12"/>
  <c r="J275" i="12" s="1"/>
  <c r="K360" i="12"/>
  <c r="L658" i="12"/>
  <c r="O658" i="12" s="1"/>
  <c r="O690" i="12"/>
  <c r="O56" i="12"/>
  <c r="N26" i="12"/>
  <c r="N24" i="12" s="1"/>
  <c r="N68" i="12"/>
  <c r="N66" i="12" s="1"/>
  <c r="M72" i="12"/>
  <c r="P72" i="12" s="1"/>
  <c r="P152" i="12"/>
  <c r="M183" i="12"/>
  <c r="K365" i="11"/>
  <c r="I434" i="11"/>
  <c r="K434" i="11" s="1"/>
  <c r="P58" i="12"/>
  <c r="P96" i="12"/>
  <c r="K145" i="12"/>
  <c r="K374" i="12"/>
  <c r="M449" i="12"/>
  <c r="M446" i="12" s="1"/>
  <c r="P446" i="12" s="1"/>
  <c r="L155" i="10"/>
  <c r="O155" i="10" s="1"/>
  <c r="N121" i="11"/>
  <c r="N119" i="11" s="1"/>
  <c r="K825" i="11"/>
  <c r="L152" i="12"/>
  <c r="O152" i="12" s="1"/>
  <c r="I208" i="12"/>
  <c r="K208" i="12" s="1"/>
  <c r="M317" i="12"/>
  <c r="P317" i="12" s="1"/>
  <c r="P333" i="12"/>
  <c r="J537" i="12"/>
  <c r="J522" i="12" s="1"/>
  <c r="K826" i="12"/>
  <c r="O166" i="12"/>
  <c r="I87" i="11"/>
  <c r="K87" i="11" s="1"/>
  <c r="O456" i="11"/>
  <c r="P166" i="12"/>
  <c r="O299" i="12"/>
  <c r="L317" i="12"/>
  <c r="O317" i="12" s="1"/>
  <c r="O320" i="12"/>
  <c r="L318" i="12"/>
  <c r="O318" i="12" s="1"/>
  <c r="M469" i="12"/>
  <c r="P472" i="12"/>
  <c r="M470" i="12"/>
  <c r="P470" i="12" s="1"/>
  <c r="P755" i="12"/>
  <c r="M754" i="12"/>
  <c r="P754" i="12" s="1"/>
  <c r="L770" i="12"/>
  <c r="O770" i="12" s="1"/>
  <c r="O772" i="12"/>
  <c r="L231" i="8"/>
  <c r="I522" i="10"/>
  <c r="K522" i="10" s="1"/>
  <c r="M55" i="11"/>
  <c r="M53" i="11" s="1"/>
  <c r="L26" i="11"/>
  <c r="L24" i="11" s="1"/>
  <c r="P353" i="11"/>
  <c r="L631" i="11"/>
  <c r="L629" i="11" s="1"/>
  <c r="O629" i="11" s="1"/>
  <c r="O29" i="12"/>
  <c r="L26" i="12"/>
  <c r="L24" i="12" s="1"/>
  <c r="O49" i="12"/>
  <c r="O127" i="12"/>
  <c r="L125" i="12"/>
  <c r="O125" i="12" s="1"/>
  <c r="O133" i="12"/>
  <c r="O157" i="12"/>
  <c r="L155" i="12"/>
  <c r="O155" i="12" s="1"/>
  <c r="K287" i="12"/>
  <c r="I276" i="12"/>
  <c r="K276" i="12" s="1"/>
  <c r="M183" i="11"/>
  <c r="M181" i="11" s="1"/>
  <c r="N300" i="11"/>
  <c r="N298" i="11" s="1"/>
  <c r="K674" i="11"/>
  <c r="P49" i="12"/>
  <c r="M47" i="12"/>
  <c r="P47" i="12" s="1"/>
  <c r="P67" i="12"/>
  <c r="L68" i="12"/>
  <c r="O71" i="12"/>
  <c r="O89" i="12"/>
  <c r="L167" i="12"/>
  <c r="O170" i="12"/>
  <c r="L168" i="12"/>
  <c r="M805" i="12"/>
  <c r="P805" i="12" s="1"/>
  <c r="P807" i="12"/>
  <c r="L55" i="10"/>
  <c r="L53" i="10" s="1"/>
  <c r="O124" i="11"/>
  <c r="K145" i="11"/>
  <c r="M263" i="11"/>
  <c r="M261" i="11" s="1"/>
  <c r="L330" i="11"/>
  <c r="L328" i="11" s="1"/>
  <c r="P394" i="11"/>
  <c r="M43" i="12"/>
  <c r="M55" i="12"/>
  <c r="M68" i="12"/>
  <c r="P68" i="12" s="1"/>
  <c r="P71" i="12"/>
  <c r="M69" i="12"/>
  <c r="P69" i="12" s="1"/>
  <c r="P89" i="12"/>
  <c r="L151" i="12"/>
  <c r="O151" i="12" s="1"/>
  <c r="O182" i="12"/>
  <c r="L183" i="12"/>
  <c r="O186" i="12"/>
  <c r="L184" i="12"/>
  <c r="O262" i="12"/>
  <c r="K672" i="12"/>
  <c r="K675" i="12"/>
  <c r="K669" i="12"/>
  <c r="K674" i="12"/>
  <c r="I654" i="12"/>
  <c r="K654" i="12" s="1"/>
  <c r="K673" i="12"/>
  <c r="O93" i="11"/>
  <c r="P96" i="11"/>
  <c r="L229" i="11"/>
  <c r="M391" i="11"/>
  <c r="O660" i="11"/>
  <c r="L788" i="11"/>
  <c r="O788" i="11" s="1"/>
  <c r="K822" i="11"/>
  <c r="L12" i="12"/>
  <c r="O32" i="12"/>
  <c r="M15" i="12"/>
  <c r="P35" i="12"/>
  <c r="M34" i="12"/>
  <c r="P34" i="12" s="1"/>
  <c r="L90" i="12"/>
  <c r="O93" i="12"/>
  <c r="L91" i="12"/>
  <c r="O138" i="12"/>
  <c r="P182" i="12"/>
  <c r="O269" i="12"/>
  <c r="L263" i="12"/>
  <c r="L267" i="12"/>
  <c r="O267" i="12" s="1"/>
  <c r="I434" i="10"/>
  <c r="I418" i="10" s="1"/>
  <c r="K418" i="10" s="1"/>
  <c r="M267" i="11"/>
  <c r="P267" i="11" s="1"/>
  <c r="M12" i="12"/>
  <c r="P32" i="12"/>
  <c r="M29" i="12"/>
  <c r="N15" i="12"/>
  <c r="N34" i="12"/>
  <c r="I77" i="12"/>
  <c r="K79" i="12"/>
  <c r="P278" i="12"/>
  <c r="M421" i="12"/>
  <c r="M422" i="12"/>
  <c r="P422" i="12" s="1"/>
  <c r="P424" i="12"/>
  <c r="M94" i="10"/>
  <c r="P94" i="10" s="1"/>
  <c r="M279" i="11"/>
  <c r="M277" i="11" s="1"/>
  <c r="P277" i="11" s="1"/>
  <c r="J537" i="11"/>
  <c r="J522" i="11" s="1"/>
  <c r="K576" i="11"/>
  <c r="K823" i="11"/>
  <c r="L23" i="12"/>
  <c r="M26" i="12"/>
  <c r="L47" i="12"/>
  <c r="O47" i="12" s="1"/>
  <c r="K197" i="12"/>
  <c r="O431" i="12"/>
  <c r="L429" i="12"/>
  <c r="O429" i="12" s="1"/>
  <c r="L36" i="12"/>
  <c r="N23" i="12"/>
  <c r="N43" i="12"/>
  <c r="N41" i="12" s="1"/>
  <c r="M121" i="12"/>
  <c r="M151" i="12"/>
  <c r="P262" i="12"/>
  <c r="L279" i="12"/>
  <c r="O279" i="12" s="1"/>
  <c r="O282" i="12"/>
  <c r="P299" i="12"/>
  <c r="O687" i="12"/>
  <c r="L737" i="12"/>
  <c r="O737" i="12" s="1"/>
  <c r="O739" i="12"/>
  <c r="N29" i="12"/>
  <c r="N28" i="12" s="1"/>
  <c r="M91" i="12"/>
  <c r="M125" i="12"/>
  <c r="P125" i="12" s="1"/>
  <c r="L135" i="12"/>
  <c r="O135" i="12" s="1"/>
  <c r="M155" i="12"/>
  <c r="P155" i="12" s="1"/>
  <c r="M168" i="12"/>
  <c r="M184" i="12"/>
  <c r="K237" i="12"/>
  <c r="I226" i="12"/>
  <c r="N279" i="12"/>
  <c r="N277" i="12" s="1"/>
  <c r="P282" i="12"/>
  <c r="M280" i="12"/>
  <c r="P280" i="12" s="1"/>
  <c r="J327" i="12"/>
  <c r="K327" i="12" s="1"/>
  <c r="N504" i="12"/>
  <c r="N502" i="12" s="1"/>
  <c r="N505" i="12"/>
  <c r="M544" i="12"/>
  <c r="P544" i="12" s="1"/>
  <c r="O557" i="12"/>
  <c r="L555" i="12"/>
  <c r="O555" i="12" s="1"/>
  <c r="L685" i="12"/>
  <c r="L19" i="12"/>
  <c r="K98" i="12"/>
  <c r="I112" i="12"/>
  <c r="K112" i="12" s="1"/>
  <c r="J143" i="12"/>
  <c r="J131" i="12" s="1"/>
  <c r="K131" i="12" s="1"/>
  <c r="I148" i="12"/>
  <c r="K148" i="12" s="1"/>
  <c r="N168" i="12"/>
  <c r="N184" i="12"/>
  <c r="K244" i="12"/>
  <c r="L249" i="12"/>
  <c r="M267" i="12"/>
  <c r="P267" i="12" s="1"/>
  <c r="L300" i="12"/>
  <c r="O303" i="12"/>
  <c r="L395" i="12"/>
  <c r="O395" i="12" s="1"/>
  <c r="O397" i="12"/>
  <c r="J433" i="12"/>
  <c r="J417" i="12" s="1"/>
  <c r="O445" i="12"/>
  <c r="O468" i="12"/>
  <c r="P524" i="12"/>
  <c r="M523" i="12"/>
  <c r="P523" i="12" s="1"/>
  <c r="L546" i="12"/>
  <c r="N756" i="12"/>
  <c r="N754" i="12" s="1"/>
  <c r="N757" i="12"/>
  <c r="L15" i="12"/>
  <c r="M263" i="12"/>
  <c r="N300" i="12"/>
  <c r="N298" i="12" s="1"/>
  <c r="M300" i="12"/>
  <c r="M298" i="12" s="1"/>
  <c r="P303" i="12"/>
  <c r="O333" i="12"/>
  <c r="O350" i="12"/>
  <c r="P403" i="12"/>
  <c r="L405" i="12"/>
  <c r="O405" i="12" s="1"/>
  <c r="L404" i="12"/>
  <c r="O407" i="12"/>
  <c r="L198" i="12"/>
  <c r="O198" i="12" s="1"/>
  <c r="O336" i="12"/>
  <c r="L334" i="12"/>
  <c r="O334" i="12" s="1"/>
  <c r="O353" i="12"/>
  <c r="L351" i="12"/>
  <c r="O351" i="12" s="1"/>
  <c r="N444" i="12"/>
  <c r="N414" i="12" s="1"/>
  <c r="L525" i="12"/>
  <c r="O525" i="12" s="1"/>
  <c r="O528" i="12"/>
  <c r="L526" i="12"/>
  <c r="O526" i="12" s="1"/>
  <c r="M657" i="12"/>
  <c r="P660" i="12"/>
  <c r="M658" i="12"/>
  <c r="P658" i="12" s="1"/>
  <c r="N685" i="12"/>
  <c r="O787" i="12"/>
  <c r="L786" i="12"/>
  <c r="O786" i="12" s="1"/>
  <c r="N44" i="12"/>
  <c r="O266" i="12"/>
  <c r="L264" i="12"/>
  <c r="O264" i="12" s="1"/>
  <c r="O278" i="12"/>
  <c r="P316" i="12"/>
  <c r="L330" i="12"/>
  <c r="N331" i="12"/>
  <c r="N330" i="12"/>
  <c r="N328" i="12" s="1"/>
  <c r="L347" i="12"/>
  <c r="N348" i="12"/>
  <c r="O348" i="12" s="1"/>
  <c r="N347" i="12"/>
  <c r="N345" i="12" s="1"/>
  <c r="K369" i="12"/>
  <c r="N404" i="12"/>
  <c r="N402" i="12" s="1"/>
  <c r="N405" i="12"/>
  <c r="P503" i="12"/>
  <c r="M502" i="12"/>
  <c r="P502" i="12" s="1"/>
  <c r="K593" i="12"/>
  <c r="I433" i="12"/>
  <c r="N688" i="12"/>
  <c r="P788" i="12"/>
  <c r="P407" i="12"/>
  <c r="O449" i="12"/>
  <c r="L502" i="12"/>
  <c r="O502" i="12" s="1"/>
  <c r="N546" i="12"/>
  <c r="N544" i="12" s="1"/>
  <c r="I592" i="12"/>
  <c r="K592" i="12" s="1"/>
  <c r="N631" i="12"/>
  <c r="N629" i="12" s="1"/>
  <c r="L754" i="12"/>
  <c r="O754" i="12" s="1"/>
  <c r="N687" i="12"/>
  <c r="L477" i="12"/>
  <c r="O477" i="12" s="1"/>
  <c r="K540" i="12"/>
  <c r="N547" i="12"/>
  <c r="P44" i="10"/>
  <c r="K821" i="10"/>
  <c r="N23" i="11"/>
  <c r="N21" i="11" s="1"/>
  <c r="I76" i="11"/>
  <c r="K76" i="11" s="1"/>
  <c r="P333" i="11"/>
  <c r="O641" i="11"/>
  <c r="K647" i="11"/>
  <c r="L33" i="11"/>
  <c r="O33" i="11" s="1"/>
  <c r="I112" i="11"/>
  <c r="K112" i="11" s="1"/>
  <c r="O184" i="11"/>
  <c r="P350" i="11"/>
  <c r="N55" i="11"/>
  <c r="N53" i="11" s="1"/>
  <c r="M59" i="11"/>
  <c r="P59" i="11" s="1"/>
  <c r="M68" i="11"/>
  <c r="P68" i="11" s="1"/>
  <c r="L90" i="11"/>
  <c r="L88" i="11" s="1"/>
  <c r="L151" i="11"/>
  <c r="L149" i="11" s="1"/>
  <c r="L183" i="11"/>
  <c r="L181" i="11" s="1"/>
  <c r="L187" i="11"/>
  <c r="O187" i="11" s="1"/>
  <c r="L198" i="11"/>
  <c r="O198" i="11" s="1"/>
  <c r="L331" i="11"/>
  <c r="M347" i="11"/>
  <c r="M345" i="11" s="1"/>
  <c r="O394" i="11"/>
  <c r="O410" i="11"/>
  <c r="L526" i="11"/>
  <c r="O526" i="11" s="1"/>
  <c r="K538" i="11"/>
  <c r="P336" i="10"/>
  <c r="L56" i="11"/>
  <c r="O56" i="11" s="1"/>
  <c r="I148" i="11"/>
  <c r="K148" i="11" s="1"/>
  <c r="N167" i="11"/>
  <c r="N165" i="11" s="1"/>
  <c r="O306" i="11"/>
  <c r="P323" i="11"/>
  <c r="M404" i="11"/>
  <c r="P404" i="11" s="1"/>
  <c r="P407" i="11"/>
  <c r="K460" i="11"/>
  <c r="K672" i="11"/>
  <c r="K824" i="11"/>
  <c r="P170" i="9"/>
  <c r="O96" i="11"/>
  <c r="K359" i="11"/>
  <c r="K370" i="11"/>
  <c r="K828" i="11"/>
  <c r="L209" i="10"/>
  <c r="O209" i="10" s="1"/>
  <c r="I77" i="11"/>
  <c r="I65" i="11" s="1"/>
  <c r="K65" i="11" s="1"/>
  <c r="O46" i="11"/>
  <c r="N151" i="11"/>
  <c r="N149" i="11" s="1"/>
  <c r="P351" i="11"/>
  <c r="K360" i="11"/>
  <c r="K381" i="11"/>
  <c r="K438" i="11"/>
  <c r="P264" i="10"/>
  <c r="M121" i="11"/>
  <c r="P121" i="11" s="1"/>
  <c r="N391" i="11"/>
  <c r="N389" i="11" s="1"/>
  <c r="K82" i="11"/>
  <c r="K193" i="11"/>
  <c r="K255" i="11"/>
  <c r="K271" i="11"/>
  <c r="L688" i="11"/>
  <c r="O688" i="11" s="1"/>
  <c r="O690" i="11"/>
  <c r="L687" i="11"/>
  <c r="O687" i="11" s="1"/>
  <c r="P49" i="11"/>
  <c r="L167" i="11"/>
  <c r="L165" i="11" s="1"/>
  <c r="M187" i="11"/>
  <c r="P187" i="11" s="1"/>
  <c r="L279" i="11"/>
  <c r="O279" i="11" s="1"/>
  <c r="K378" i="11"/>
  <c r="M472" i="11"/>
  <c r="P472" i="11" s="1"/>
  <c r="L469" i="11"/>
  <c r="L467" i="11" s="1"/>
  <c r="O467" i="11" s="1"/>
  <c r="O472" i="11"/>
  <c r="L404" i="9"/>
  <c r="O404" i="9" s="1"/>
  <c r="L533" i="10"/>
  <c r="O533" i="10" s="1"/>
  <c r="N43" i="11"/>
  <c r="N41" i="11" s="1"/>
  <c r="M122" i="11"/>
  <c r="P122" i="11" s="1"/>
  <c r="M134" i="11"/>
  <c r="P134" i="11" s="1"/>
  <c r="M304" i="11"/>
  <c r="P304" i="11" s="1"/>
  <c r="P306" i="11"/>
  <c r="J364" i="11"/>
  <c r="N404" i="11"/>
  <c r="N402" i="11" s="1"/>
  <c r="N44" i="11"/>
  <c r="P44" i="11" s="1"/>
  <c r="L55" i="11"/>
  <c r="L68" i="11"/>
  <c r="O68" i="11" s="1"/>
  <c r="K98" i="11"/>
  <c r="L238" i="11"/>
  <c r="O238" i="11" s="1"/>
  <c r="K260" i="11"/>
  <c r="N279" i="11"/>
  <c r="N277" i="11" s="1"/>
  <c r="O282" i="11"/>
  <c r="K369" i="11"/>
  <c r="L155" i="9"/>
  <c r="O155" i="9" s="1"/>
  <c r="P124" i="10"/>
  <c r="L69" i="11"/>
  <c r="O69" i="11" s="1"/>
  <c r="P71" i="11"/>
  <c r="O74" i="11"/>
  <c r="L138" i="11"/>
  <c r="O138" i="11" s="1"/>
  <c r="O157" i="11"/>
  <c r="O170" i="11"/>
  <c r="L209" i="11"/>
  <c r="O209" i="11" s="1"/>
  <c r="L283" i="11"/>
  <c r="O283" i="11" s="1"/>
  <c r="K338" i="11"/>
  <c r="K385" i="11"/>
  <c r="P154" i="10"/>
  <c r="K159" i="10"/>
  <c r="K825" i="10"/>
  <c r="P56" i="11"/>
  <c r="M69" i="11"/>
  <c r="P69" i="11" s="1"/>
  <c r="P74" i="11"/>
  <c r="O173" i="11"/>
  <c r="M283" i="11"/>
  <c r="P283" i="11" s="1"/>
  <c r="K374" i="11"/>
  <c r="P93" i="10"/>
  <c r="O264" i="10"/>
  <c r="L23" i="11"/>
  <c r="L121" i="11"/>
  <c r="O121" i="11" s="1"/>
  <c r="M135" i="11"/>
  <c r="P135" i="11" s="1"/>
  <c r="L231" i="11"/>
  <c r="L317" i="11"/>
  <c r="L315" i="11" s="1"/>
  <c r="O315" i="11" s="1"/>
  <c r="L321" i="11"/>
  <c r="O321" i="11" s="1"/>
  <c r="L334" i="11"/>
  <c r="O334" i="11" s="1"/>
  <c r="K340" i="11"/>
  <c r="L391" i="11"/>
  <c r="O391" i="11" s="1"/>
  <c r="L429" i="11"/>
  <c r="O429" i="11" s="1"/>
  <c r="O431" i="11"/>
  <c r="L477" i="11"/>
  <c r="O477" i="11" s="1"/>
  <c r="K569" i="11"/>
  <c r="I654" i="11"/>
  <c r="K654" i="11" s="1"/>
  <c r="L789" i="11"/>
  <c r="O789" i="11" s="1"/>
  <c r="L421" i="11"/>
  <c r="L419" i="11" s="1"/>
  <c r="M549" i="11"/>
  <c r="P549" i="11" s="1"/>
  <c r="K675" i="11"/>
  <c r="M422" i="11"/>
  <c r="K577" i="11"/>
  <c r="K651" i="11"/>
  <c r="K669" i="11"/>
  <c r="J722" i="11"/>
  <c r="K821" i="11"/>
  <c r="J721" i="11"/>
  <c r="P29" i="11"/>
  <c r="N9" i="11"/>
  <c r="O15" i="11"/>
  <c r="N263" i="11"/>
  <c r="N261" i="11" s="1"/>
  <c r="P127" i="10"/>
  <c r="O285" i="10"/>
  <c r="L631" i="10"/>
  <c r="L629" i="10" s="1"/>
  <c r="O629" i="10" s="1"/>
  <c r="K800" i="10"/>
  <c r="P19" i="11"/>
  <c r="O25" i="11"/>
  <c r="M15" i="11"/>
  <c r="P35" i="11"/>
  <c r="M34" i="11"/>
  <c r="P34" i="11" s="1"/>
  <c r="L44" i="11"/>
  <c r="O67" i="11"/>
  <c r="K79" i="11"/>
  <c r="L91" i="11"/>
  <c r="O91" i="11" s="1"/>
  <c r="N122" i="11"/>
  <c r="I130" i="11"/>
  <c r="K130" i="11" s="1"/>
  <c r="K146" i="11"/>
  <c r="N152" i="11"/>
  <c r="O152" i="11" s="1"/>
  <c r="O154" i="11"/>
  <c r="L168" i="11"/>
  <c r="O168" i="11" s="1"/>
  <c r="L267" i="11"/>
  <c r="O267" i="11" s="1"/>
  <c r="P282" i="11"/>
  <c r="M280" i="11"/>
  <c r="P280" i="11" s="1"/>
  <c r="I364" i="11"/>
  <c r="N395" i="11"/>
  <c r="P403" i="11"/>
  <c r="N502" i="11"/>
  <c r="P157" i="11"/>
  <c r="M155" i="11"/>
  <c r="P155" i="11" s="1"/>
  <c r="P316" i="11"/>
  <c r="L555" i="9"/>
  <c r="O555" i="9" s="1"/>
  <c r="L29" i="11"/>
  <c r="O89" i="11"/>
  <c r="M138" i="11"/>
  <c r="P138" i="11" s="1"/>
  <c r="P154" i="11"/>
  <c r="O166" i="11"/>
  <c r="P186" i="11"/>
  <c r="M184" i="11"/>
  <c r="P184" i="11" s="1"/>
  <c r="O424" i="11"/>
  <c r="N421" i="11"/>
  <c r="N419" i="11" s="1"/>
  <c r="O549" i="11"/>
  <c r="N547" i="11"/>
  <c r="O547" i="11" s="1"/>
  <c r="L546" i="11"/>
  <c r="O557" i="11"/>
  <c r="L555" i="11"/>
  <c r="O555" i="11" s="1"/>
  <c r="L404" i="7"/>
  <c r="O404" i="7" s="1"/>
  <c r="L657" i="9"/>
  <c r="O657" i="9" s="1"/>
  <c r="P12" i="11"/>
  <c r="M26" i="11"/>
  <c r="M24" i="11" s="1"/>
  <c r="O35" i="11"/>
  <c r="P46" i="11"/>
  <c r="P58" i="11"/>
  <c r="O120" i="11"/>
  <c r="L125" i="11"/>
  <c r="O125" i="11" s="1"/>
  <c r="P133" i="11"/>
  <c r="P140" i="11"/>
  <c r="O150" i="11"/>
  <c r="L155" i="11"/>
  <c r="O155" i="11" s="1"/>
  <c r="I208" i="11"/>
  <c r="K208" i="11" s="1"/>
  <c r="K225" i="11"/>
  <c r="I233" i="11"/>
  <c r="K233" i="11" s="1"/>
  <c r="M318" i="11"/>
  <c r="P318" i="11" s="1"/>
  <c r="P320" i="11"/>
  <c r="M317" i="11"/>
  <c r="P317" i="11" s="1"/>
  <c r="N546" i="11"/>
  <c r="P56" i="10"/>
  <c r="O93" i="10"/>
  <c r="O184" i="10"/>
  <c r="I190" i="10"/>
  <c r="K190" i="10" s="1"/>
  <c r="N19" i="11"/>
  <c r="N26" i="11"/>
  <c r="N16" i="11" s="1"/>
  <c r="N14" i="11" s="1"/>
  <c r="L36" i="11"/>
  <c r="O36" i="11" s="1"/>
  <c r="P42" i="11"/>
  <c r="L47" i="11"/>
  <c r="O47" i="11" s="1"/>
  <c r="L59" i="11"/>
  <c r="O59" i="11" s="1"/>
  <c r="J143" i="11"/>
  <c r="J131" i="11" s="1"/>
  <c r="I174" i="11"/>
  <c r="I237" i="11"/>
  <c r="N317" i="11"/>
  <c r="N315" i="11" s="1"/>
  <c r="P329" i="11"/>
  <c r="O353" i="11"/>
  <c r="L351" i="11"/>
  <c r="O351" i="11" s="1"/>
  <c r="L395" i="11"/>
  <c r="O395" i="11" s="1"/>
  <c r="O397" i="11"/>
  <c r="P419" i="11"/>
  <c r="N422" i="11"/>
  <c r="K543" i="11"/>
  <c r="O771" i="11"/>
  <c r="L770" i="11"/>
  <c r="O770" i="11" s="1"/>
  <c r="L526" i="9"/>
  <c r="O526" i="9" s="1"/>
  <c r="L279" i="10"/>
  <c r="O279" i="10" s="1"/>
  <c r="L33" i="10"/>
  <c r="O33" i="10" s="1"/>
  <c r="M9" i="11"/>
  <c r="L12" i="11"/>
  <c r="O32" i="11"/>
  <c r="L43" i="11"/>
  <c r="O54" i="11"/>
  <c r="O61" i="11"/>
  <c r="I131" i="11"/>
  <c r="K131" i="11" s="1"/>
  <c r="O133" i="11"/>
  <c r="O350" i="11"/>
  <c r="L348" i="11"/>
  <c r="I433" i="11"/>
  <c r="K435" i="11"/>
  <c r="J433" i="11"/>
  <c r="J417" i="11" s="1"/>
  <c r="M155" i="9"/>
  <c r="P155" i="9" s="1"/>
  <c r="K340" i="10"/>
  <c r="M43" i="11"/>
  <c r="N68" i="11"/>
  <c r="N66" i="11" s="1"/>
  <c r="N69" i="11"/>
  <c r="M90" i="11"/>
  <c r="P93" i="11"/>
  <c r="M91" i="11"/>
  <c r="P91" i="11" s="1"/>
  <c r="L134" i="11"/>
  <c r="O134" i="11" s="1"/>
  <c r="O137" i="11"/>
  <c r="L135" i="11"/>
  <c r="O135" i="11" s="1"/>
  <c r="M151" i="11"/>
  <c r="M167" i="11"/>
  <c r="P170" i="11"/>
  <c r="M168" i="11"/>
  <c r="P168" i="11" s="1"/>
  <c r="K190" i="11"/>
  <c r="O266" i="11"/>
  <c r="L263" i="11"/>
  <c r="O390" i="11"/>
  <c r="P127" i="11"/>
  <c r="M125" i="11"/>
  <c r="P125" i="11" s="1"/>
  <c r="N330" i="11"/>
  <c r="N328" i="11" s="1"/>
  <c r="N331" i="11"/>
  <c r="P331" i="11" s="1"/>
  <c r="K701" i="8"/>
  <c r="L36" i="9"/>
  <c r="O36" i="9" s="1"/>
  <c r="L231" i="10"/>
  <c r="K701" i="10"/>
  <c r="K720" i="10"/>
  <c r="M23" i="11"/>
  <c r="N29" i="11"/>
  <c r="N28" i="11" s="1"/>
  <c r="P67" i="11"/>
  <c r="N134" i="11"/>
  <c r="N132" i="11" s="1"/>
  <c r="P266" i="11"/>
  <c r="M264" i="11"/>
  <c r="P264" i="11" s="1"/>
  <c r="J288" i="11"/>
  <c r="J275" i="11" s="1"/>
  <c r="I275" i="11"/>
  <c r="K275" i="11" s="1"/>
  <c r="K325" i="11"/>
  <c r="I314" i="11"/>
  <c r="K314" i="11" s="1"/>
  <c r="M334" i="11"/>
  <c r="P334" i="11" s="1"/>
  <c r="M330" i="11"/>
  <c r="J327" i="11"/>
  <c r="K327" i="11" s="1"/>
  <c r="K593" i="11"/>
  <c r="J592" i="11"/>
  <c r="K592" i="11" s="1"/>
  <c r="N183" i="11"/>
  <c r="O186" i="11"/>
  <c r="N227" i="11"/>
  <c r="P262" i="11"/>
  <c r="L300" i="11"/>
  <c r="O300" i="11" s="1"/>
  <c r="L301" i="11"/>
  <c r="O301" i="11" s="1"/>
  <c r="N347" i="11"/>
  <c r="N345" i="11" s="1"/>
  <c r="N348" i="11"/>
  <c r="P348" i="11" s="1"/>
  <c r="L404" i="11"/>
  <c r="L405" i="11"/>
  <c r="O405" i="11" s="1"/>
  <c r="K826" i="11"/>
  <c r="O449" i="11"/>
  <c r="L447" i="11"/>
  <c r="O447" i="11" s="1"/>
  <c r="O468" i="11"/>
  <c r="O535" i="11"/>
  <c r="L533" i="11"/>
  <c r="O533" i="11" s="1"/>
  <c r="L525" i="11"/>
  <c r="N544" i="11"/>
  <c r="O656" i="11"/>
  <c r="L249" i="11"/>
  <c r="O249" i="11" s="1"/>
  <c r="O333" i="11"/>
  <c r="P346" i="11"/>
  <c r="K559" i="11"/>
  <c r="P686" i="11"/>
  <c r="M685" i="11"/>
  <c r="P685" i="11" s="1"/>
  <c r="O755" i="11"/>
  <c r="L754" i="11"/>
  <c r="O754" i="11" s="1"/>
  <c r="P182" i="11"/>
  <c r="K355" i="11"/>
  <c r="K372" i="11"/>
  <c r="O407" i="11"/>
  <c r="K537" i="11"/>
  <c r="I522" i="11"/>
  <c r="K522" i="11" s="1"/>
  <c r="P630" i="11"/>
  <c r="O634" i="11"/>
  <c r="M634" i="11"/>
  <c r="L632" i="11"/>
  <c r="O738" i="11"/>
  <c r="L737" i="11"/>
  <c r="O737" i="11" s="1"/>
  <c r="P445" i="11"/>
  <c r="M444" i="11"/>
  <c r="P444" i="11" s="1"/>
  <c r="K628" i="11"/>
  <c r="N632" i="11"/>
  <c r="N631" i="11"/>
  <c r="N629" i="11" s="1"/>
  <c r="P788" i="11"/>
  <c r="N807" i="11"/>
  <c r="N805" i="11" s="1"/>
  <c r="L422" i="11"/>
  <c r="L470" i="11"/>
  <c r="O470" i="11" s="1"/>
  <c r="L805" i="11"/>
  <c r="O805" i="11" s="1"/>
  <c r="M805" i="11"/>
  <c r="P805" i="11" s="1"/>
  <c r="J364" i="10"/>
  <c r="K442" i="10"/>
  <c r="N330" i="8"/>
  <c r="N328" i="8" s="1"/>
  <c r="K651" i="8"/>
  <c r="K824" i="9"/>
  <c r="M121" i="10"/>
  <c r="P121" i="10" s="1"/>
  <c r="I275" i="10"/>
  <c r="K275" i="10" s="1"/>
  <c r="L280" i="10"/>
  <c r="O280" i="10" s="1"/>
  <c r="J288" i="10"/>
  <c r="J275" i="10" s="1"/>
  <c r="M317" i="10"/>
  <c r="P317" i="10" s="1"/>
  <c r="P333" i="10"/>
  <c r="L422" i="10"/>
  <c r="O422" i="10" s="1"/>
  <c r="K460" i="10"/>
  <c r="O557" i="10"/>
  <c r="K824" i="10"/>
  <c r="K828" i="10"/>
  <c r="N23" i="10"/>
  <c r="N13" i="10" s="1"/>
  <c r="L138" i="10"/>
  <c r="O138" i="10" s="1"/>
  <c r="L263" i="10"/>
  <c r="L261" i="10" s="1"/>
  <c r="O266" i="10"/>
  <c r="M280" i="10"/>
  <c r="P280" i="10" s="1"/>
  <c r="J327" i="10"/>
  <c r="K327" i="10" s="1"/>
  <c r="O634" i="10"/>
  <c r="K651" i="10"/>
  <c r="M55" i="9"/>
  <c r="M53" i="9" s="1"/>
  <c r="N263" i="9"/>
  <c r="N261" i="9" s="1"/>
  <c r="N330" i="9"/>
  <c r="N328" i="9" s="1"/>
  <c r="L47" i="10"/>
  <c r="O47" i="10" s="1"/>
  <c r="L198" i="10"/>
  <c r="O198" i="10" s="1"/>
  <c r="M330" i="10"/>
  <c r="M328" i="10" s="1"/>
  <c r="L632" i="10"/>
  <c r="O632" i="10" s="1"/>
  <c r="L687" i="10"/>
  <c r="L685" i="10" s="1"/>
  <c r="O685" i="10" s="1"/>
  <c r="J722" i="10"/>
  <c r="K722" i="10" s="1"/>
  <c r="K729" i="10"/>
  <c r="K825" i="8"/>
  <c r="L230" i="9"/>
  <c r="L43" i="10"/>
  <c r="L41" i="10" s="1"/>
  <c r="M59" i="10"/>
  <c r="P59" i="10" s="1"/>
  <c r="P323" i="10"/>
  <c r="L688" i="10"/>
  <c r="K822" i="10"/>
  <c r="I87" i="10"/>
  <c r="K87" i="10" s="1"/>
  <c r="J721" i="10"/>
  <c r="K721" i="10" s="1"/>
  <c r="M55" i="10"/>
  <c r="L249" i="10"/>
  <c r="O249" i="10" s="1"/>
  <c r="M404" i="10"/>
  <c r="M402" i="10" s="1"/>
  <c r="P402" i="10" s="1"/>
  <c r="K823" i="10"/>
  <c r="K827" i="10"/>
  <c r="N121" i="10"/>
  <c r="N119" i="10" s="1"/>
  <c r="N26" i="10"/>
  <c r="N16" i="10" s="1"/>
  <c r="N151" i="10"/>
  <c r="N149" i="10" s="1"/>
  <c r="K723" i="10"/>
  <c r="O660" i="10"/>
  <c r="L657" i="10"/>
  <c r="O657" i="10" s="1"/>
  <c r="L632" i="9"/>
  <c r="O632" i="9" s="1"/>
  <c r="M47" i="10"/>
  <c r="P47" i="10" s="1"/>
  <c r="N90" i="10"/>
  <c r="N88" i="10" s="1"/>
  <c r="M171" i="10"/>
  <c r="P171" i="10" s="1"/>
  <c r="L228" i="10"/>
  <c r="O549" i="7"/>
  <c r="M151" i="9"/>
  <c r="O58" i="10"/>
  <c r="I76" i="10"/>
  <c r="K76" i="10" s="1"/>
  <c r="L91" i="10"/>
  <c r="O91" i="10" s="1"/>
  <c r="M135" i="10"/>
  <c r="P135" i="10" s="1"/>
  <c r="N167" i="10"/>
  <c r="N165" i="10" s="1"/>
  <c r="L217" i="10"/>
  <c r="O217" i="10" s="1"/>
  <c r="P269" i="10"/>
  <c r="P306" i="10"/>
  <c r="M304" i="10"/>
  <c r="P304" i="10" s="1"/>
  <c r="N318" i="10"/>
  <c r="N317" i="10"/>
  <c r="N315" i="10" s="1"/>
  <c r="O394" i="10"/>
  <c r="L392" i="10"/>
  <c r="O392" i="10" s="1"/>
  <c r="O549" i="9"/>
  <c r="O154" i="10"/>
  <c r="O186" i="10"/>
  <c r="I216" i="10"/>
  <c r="K216" i="10" s="1"/>
  <c r="P266" i="10"/>
  <c r="M421" i="10"/>
  <c r="M419" i="10" s="1"/>
  <c r="M422" i="10"/>
  <c r="P422" i="10" s="1"/>
  <c r="L789" i="10"/>
  <c r="O789" i="10" s="1"/>
  <c r="O791" i="10"/>
  <c r="L788" i="10"/>
  <c r="O788" i="10" s="1"/>
  <c r="L546" i="10"/>
  <c r="L544" i="10" s="1"/>
  <c r="O544" i="10" s="1"/>
  <c r="L547" i="10"/>
  <c r="O547" i="10" s="1"/>
  <c r="M549" i="10"/>
  <c r="P549" i="10" s="1"/>
  <c r="M152" i="9"/>
  <c r="P152" i="9" s="1"/>
  <c r="O431" i="9"/>
  <c r="O456" i="9"/>
  <c r="O410" i="10"/>
  <c r="L408" i="10"/>
  <c r="O408" i="10" s="1"/>
  <c r="M90" i="9"/>
  <c r="M88" i="9" s="1"/>
  <c r="M134" i="9"/>
  <c r="P134" i="9" s="1"/>
  <c r="P303" i="10"/>
  <c r="M301" i="10"/>
  <c r="P301" i="10" s="1"/>
  <c r="M300" i="10"/>
  <c r="P350" i="10"/>
  <c r="P424" i="10"/>
  <c r="L454" i="10"/>
  <c r="O454" i="10" s="1"/>
  <c r="O456" i="10"/>
  <c r="I197" i="4"/>
  <c r="K197" i="4" s="1"/>
  <c r="L23" i="10"/>
  <c r="M43" i="10"/>
  <c r="M41" i="10" s="1"/>
  <c r="O46" i="10"/>
  <c r="N122" i="10"/>
  <c r="L125" i="10"/>
  <c r="O125" i="10" s="1"/>
  <c r="O170" i="10"/>
  <c r="L230" i="10"/>
  <c r="K340" i="9"/>
  <c r="P46" i="10"/>
  <c r="L72" i="10"/>
  <c r="O72" i="10" s="1"/>
  <c r="M134" i="10"/>
  <c r="P134" i="10" s="1"/>
  <c r="P170" i="10"/>
  <c r="N183" i="10"/>
  <c r="N181" i="10" s="1"/>
  <c r="I233" i="10"/>
  <c r="K233" i="10" s="1"/>
  <c r="L447" i="10"/>
  <c r="O447" i="10" s="1"/>
  <c r="L446" i="10"/>
  <c r="L444" i="10" s="1"/>
  <c r="M449" i="10"/>
  <c r="P449" i="10" s="1"/>
  <c r="K338" i="10"/>
  <c r="K593" i="10"/>
  <c r="K726" i="10"/>
  <c r="I364" i="10"/>
  <c r="K364" i="10" s="1"/>
  <c r="J537" i="10"/>
  <c r="J522" i="10" s="1"/>
  <c r="L304" i="10"/>
  <c r="O304" i="10" s="1"/>
  <c r="M392" i="10"/>
  <c r="P392" i="10" s="1"/>
  <c r="P394" i="10"/>
  <c r="K435" i="10"/>
  <c r="M690" i="10"/>
  <c r="O353" i="10"/>
  <c r="M408" i="10"/>
  <c r="P408" i="10" s="1"/>
  <c r="K594" i="10"/>
  <c r="N279" i="10"/>
  <c r="N277" i="10" s="1"/>
  <c r="O350" i="10"/>
  <c r="M405" i="10"/>
  <c r="P405" i="10" s="1"/>
  <c r="O424" i="10"/>
  <c r="K725" i="10"/>
  <c r="O29" i="10"/>
  <c r="P29" i="10"/>
  <c r="J143" i="8"/>
  <c r="J131" i="8" s="1"/>
  <c r="O320" i="8"/>
  <c r="M183" i="9"/>
  <c r="M181" i="9" s="1"/>
  <c r="I190" i="9"/>
  <c r="K190" i="9" s="1"/>
  <c r="L546" i="9"/>
  <c r="L544" i="9" s="1"/>
  <c r="O544" i="9" s="1"/>
  <c r="N15" i="10"/>
  <c r="M23" i="10"/>
  <c r="O35" i="10"/>
  <c r="N55" i="10"/>
  <c r="N68" i="10"/>
  <c r="N66" i="10" s="1"/>
  <c r="N69" i="10"/>
  <c r="K78" i="10"/>
  <c r="L121" i="10"/>
  <c r="M138" i="10"/>
  <c r="P138" i="10" s="1"/>
  <c r="L168" i="10"/>
  <c r="O168" i="10" s="1"/>
  <c r="L183" i="10"/>
  <c r="L181" i="10" s="1"/>
  <c r="I276" i="10"/>
  <c r="K276" i="10" s="1"/>
  <c r="K287" i="10"/>
  <c r="N404" i="10"/>
  <c r="N402" i="10" s="1"/>
  <c r="N405" i="10"/>
  <c r="M467" i="10"/>
  <c r="P467" i="10" s="1"/>
  <c r="P468" i="10"/>
  <c r="I77" i="9"/>
  <c r="I65" i="9" s="1"/>
  <c r="K65" i="9" s="1"/>
  <c r="L121" i="9"/>
  <c r="O121" i="9" s="1"/>
  <c r="N183" i="9"/>
  <c r="N181" i="9" s="1"/>
  <c r="O15" i="10"/>
  <c r="O25" i="10"/>
  <c r="I77" i="10"/>
  <c r="P133" i="10"/>
  <c r="N138" i="10"/>
  <c r="P140" i="10"/>
  <c r="P157" i="10"/>
  <c r="O166" i="10"/>
  <c r="M183" i="10"/>
  <c r="M181" i="10" s="1"/>
  <c r="P186" i="10"/>
  <c r="M184" i="10"/>
  <c r="P184" i="10" s="1"/>
  <c r="N283" i="10"/>
  <c r="O323" i="10"/>
  <c r="L321" i="10"/>
  <c r="O321" i="10" s="1"/>
  <c r="O333" i="10"/>
  <c r="L330" i="10"/>
  <c r="L331" i="10"/>
  <c r="O189" i="8"/>
  <c r="K340" i="8"/>
  <c r="L151" i="9"/>
  <c r="O151" i="9" s="1"/>
  <c r="N347" i="9"/>
  <c r="N345" i="9" s="1"/>
  <c r="L408" i="9"/>
  <c r="O408" i="9" s="1"/>
  <c r="K673" i="9"/>
  <c r="J722" i="9"/>
  <c r="K722" i="9" s="1"/>
  <c r="O19" i="10"/>
  <c r="N43" i="10"/>
  <c r="N41" i="10" s="1"/>
  <c r="P58" i="10"/>
  <c r="M69" i="10"/>
  <c r="P69" i="10" s="1"/>
  <c r="K79" i="10"/>
  <c r="I86" i="10"/>
  <c r="K86" i="10" s="1"/>
  <c r="O89" i="10"/>
  <c r="O96" i="10"/>
  <c r="P150" i="10"/>
  <c r="P166" i="10"/>
  <c r="O173" i="10"/>
  <c r="O189" i="10"/>
  <c r="L300" i="10"/>
  <c r="L301" i="10"/>
  <c r="O301" i="10" s="1"/>
  <c r="O303" i="10"/>
  <c r="O320" i="10"/>
  <c r="L317" i="10"/>
  <c r="M351" i="10"/>
  <c r="P351" i="10" s="1"/>
  <c r="P353" i="10"/>
  <c r="O479" i="10"/>
  <c r="L477" i="10"/>
  <c r="O477" i="10" s="1"/>
  <c r="O93" i="8"/>
  <c r="P61" i="9"/>
  <c r="L198" i="9"/>
  <c r="O198" i="9" s="1"/>
  <c r="I275" i="9"/>
  <c r="K275" i="9" s="1"/>
  <c r="K726" i="9"/>
  <c r="L788" i="9"/>
  <c r="O788" i="9" s="1"/>
  <c r="L9" i="10"/>
  <c r="M12" i="10"/>
  <c r="L26" i="10"/>
  <c r="O32" i="10"/>
  <c r="L59" i="10"/>
  <c r="O59" i="10" s="1"/>
  <c r="P67" i="10"/>
  <c r="P74" i="10"/>
  <c r="P89" i="10"/>
  <c r="N134" i="10"/>
  <c r="N132" i="10" s="1"/>
  <c r="L134" i="10"/>
  <c r="O134" i="10" s="1"/>
  <c r="L135" i="10"/>
  <c r="O135" i="10" s="1"/>
  <c r="L151" i="10"/>
  <c r="I197" i="10"/>
  <c r="K197" i="10" s="1"/>
  <c r="L229" i="10"/>
  <c r="L238" i="10"/>
  <c r="M347" i="10"/>
  <c r="M345" i="10" s="1"/>
  <c r="N447" i="10"/>
  <c r="N446" i="10"/>
  <c r="I130" i="10"/>
  <c r="K130" i="10" s="1"/>
  <c r="K146" i="10"/>
  <c r="L125" i="9"/>
  <c r="O125" i="9" s="1"/>
  <c r="K821" i="9"/>
  <c r="K825" i="9"/>
  <c r="N12" i="10"/>
  <c r="M26" i="10"/>
  <c r="P32" i="10"/>
  <c r="O124" i="10"/>
  <c r="M151" i="10"/>
  <c r="P151" i="10" s="1"/>
  <c r="L167" i="10"/>
  <c r="I174" i="10"/>
  <c r="N300" i="10"/>
  <c r="N298" i="10" s="1"/>
  <c r="N301" i="10"/>
  <c r="O431" i="10"/>
  <c r="L429" i="10"/>
  <c r="O429" i="10" s="1"/>
  <c r="L421" i="10"/>
  <c r="L36" i="10"/>
  <c r="O36" i="10" s="1"/>
  <c r="N29" i="10"/>
  <c r="N28" i="10" s="1"/>
  <c r="O44" i="10"/>
  <c r="L90" i="10"/>
  <c r="J143" i="10"/>
  <c r="J131" i="10" s="1"/>
  <c r="I143" i="10"/>
  <c r="O182" i="10"/>
  <c r="N391" i="10"/>
  <c r="N389" i="10" s="1"/>
  <c r="N395" i="10"/>
  <c r="O456" i="6"/>
  <c r="K465" i="6"/>
  <c r="K708" i="6"/>
  <c r="L72" i="9"/>
  <c r="O72" i="9" s="1"/>
  <c r="K723" i="9"/>
  <c r="K728" i="9"/>
  <c r="M15" i="10"/>
  <c r="P35" i="10"/>
  <c r="M34" i="10"/>
  <c r="P34" i="10" s="1"/>
  <c r="M68" i="10"/>
  <c r="P68" i="10" s="1"/>
  <c r="L68" i="10"/>
  <c r="O71" i="10"/>
  <c r="M90" i="10"/>
  <c r="M91" i="10"/>
  <c r="P91" i="10" s="1"/>
  <c r="K111" i="10"/>
  <c r="K116" i="10"/>
  <c r="I112" i="10"/>
  <c r="K112" i="10" s="1"/>
  <c r="O133" i="10"/>
  <c r="K145" i="10"/>
  <c r="M167" i="10"/>
  <c r="M168" i="10"/>
  <c r="P168" i="10" s="1"/>
  <c r="P182" i="10"/>
  <c r="M263" i="10"/>
  <c r="K271" i="10"/>
  <c r="I260" i="10"/>
  <c r="K260" i="10" s="1"/>
  <c r="M279" i="10"/>
  <c r="P320" i="10"/>
  <c r="P346" i="10"/>
  <c r="L351" i="10"/>
  <c r="O351" i="10" s="1"/>
  <c r="O397" i="10"/>
  <c r="O524" i="10"/>
  <c r="N544" i="10"/>
  <c r="P755" i="10"/>
  <c r="M754" i="10"/>
  <c r="P754" i="10" s="1"/>
  <c r="L770" i="10"/>
  <c r="O770" i="10" s="1"/>
  <c r="O772" i="10"/>
  <c r="L56" i="10"/>
  <c r="O56" i="10" s="1"/>
  <c r="N263" i="10"/>
  <c r="N261" i="10" s="1"/>
  <c r="P316" i="10"/>
  <c r="N330" i="10"/>
  <c r="N331" i="10"/>
  <c r="P331" i="10" s="1"/>
  <c r="O390" i="10"/>
  <c r="K826" i="10"/>
  <c r="I443" i="10"/>
  <c r="K443" i="10" s="1"/>
  <c r="N444" i="10"/>
  <c r="P545" i="10"/>
  <c r="M655" i="10"/>
  <c r="P655" i="10" s="1"/>
  <c r="P657" i="10"/>
  <c r="K672" i="10"/>
  <c r="K675" i="10"/>
  <c r="K669" i="10"/>
  <c r="I654" i="10"/>
  <c r="K654" i="10" s="1"/>
  <c r="K674" i="10"/>
  <c r="L737" i="10"/>
  <c r="O737" i="10" s="1"/>
  <c r="O739" i="10"/>
  <c r="M805" i="10"/>
  <c r="P805" i="10" s="1"/>
  <c r="P807" i="10"/>
  <c r="P189" i="10"/>
  <c r="N227" i="10"/>
  <c r="K325" i="10"/>
  <c r="I314" i="10"/>
  <c r="K314" i="10" s="1"/>
  <c r="P329" i="10"/>
  <c r="L334" i="10"/>
  <c r="O334" i="10" s="1"/>
  <c r="L347" i="10"/>
  <c r="L391" i="10"/>
  <c r="O391" i="10" s="1"/>
  <c r="M523" i="10"/>
  <c r="P523" i="10" s="1"/>
  <c r="P525" i="10"/>
  <c r="O549" i="10"/>
  <c r="N756" i="10"/>
  <c r="N754" i="10" s="1"/>
  <c r="N757" i="10"/>
  <c r="L404" i="10"/>
  <c r="L405" i="10"/>
  <c r="O405" i="10" s="1"/>
  <c r="J433" i="10"/>
  <c r="J417" i="10" s="1"/>
  <c r="K417" i="10" s="1"/>
  <c r="O449" i="10"/>
  <c r="O472" i="10"/>
  <c r="L470" i="10"/>
  <c r="O470" i="10" s="1"/>
  <c r="N629" i="10"/>
  <c r="O787" i="10"/>
  <c r="L267" i="10"/>
  <c r="O267" i="10" s="1"/>
  <c r="M283" i="10"/>
  <c r="P283" i="10" s="1"/>
  <c r="L348" i="10"/>
  <c r="N347" i="10"/>
  <c r="N345" i="10" s="1"/>
  <c r="N348" i="10"/>
  <c r="P348" i="10" s="1"/>
  <c r="N414" i="10"/>
  <c r="O468" i="10"/>
  <c r="L467" i="10"/>
  <c r="O467" i="10" s="1"/>
  <c r="K592" i="10"/>
  <c r="O641" i="10"/>
  <c r="L639" i="10"/>
  <c r="O639" i="10" s="1"/>
  <c r="N688" i="10"/>
  <c r="P788" i="10"/>
  <c r="L754" i="10"/>
  <c r="O754" i="10" s="1"/>
  <c r="M502" i="10"/>
  <c r="P502" i="10" s="1"/>
  <c r="I559" i="10"/>
  <c r="L658" i="10"/>
  <c r="O658" i="10" s="1"/>
  <c r="L805" i="10"/>
  <c r="O805" i="10" s="1"/>
  <c r="O71" i="8"/>
  <c r="M69" i="9"/>
  <c r="P69" i="9" s="1"/>
  <c r="P282" i="9"/>
  <c r="L347" i="9"/>
  <c r="M395" i="9"/>
  <c r="P395" i="9" s="1"/>
  <c r="M424" i="9"/>
  <c r="P424" i="9" s="1"/>
  <c r="L547" i="9"/>
  <c r="O547" i="9" s="1"/>
  <c r="K594" i="9"/>
  <c r="O791" i="9"/>
  <c r="L68" i="7"/>
  <c r="O68" i="7" s="1"/>
  <c r="P282" i="8"/>
  <c r="K374" i="8"/>
  <c r="L404" i="8"/>
  <c r="O404" i="8" s="1"/>
  <c r="L788" i="8"/>
  <c r="O788" i="8" s="1"/>
  <c r="L33" i="9"/>
  <c r="O124" i="9"/>
  <c r="I130" i="9"/>
  <c r="K130" i="9" s="1"/>
  <c r="M171" i="9"/>
  <c r="P171" i="9" s="1"/>
  <c r="L283" i="9"/>
  <c r="O283" i="9" s="1"/>
  <c r="O303" i="9"/>
  <c r="N317" i="9"/>
  <c r="N315" i="9" s="1"/>
  <c r="J327" i="9"/>
  <c r="K327" i="9" s="1"/>
  <c r="N391" i="9"/>
  <c r="N389" i="9" s="1"/>
  <c r="O407" i="9"/>
  <c r="L421" i="9"/>
  <c r="L419" i="9" s="1"/>
  <c r="O424" i="9"/>
  <c r="M304" i="9"/>
  <c r="P304" i="9" s="1"/>
  <c r="L405" i="9"/>
  <c r="O405" i="9" s="1"/>
  <c r="L122" i="9"/>
  <c r="O122" i="9" s="1"/>
  <c r="O351" i="9"/>
  <c r="I364" i="9"/>
  <c r="K364" i="9" s="1"/>
  <c r="M405" i="9"/>
  <c r="P405" i="9" s="1"/>
  <c r="L55" i="9"/>
  <c r="L53" i="9" s="1"/>
  <c r="O154" i="9"/>
  <c r="K720" i="9"/>
  <c r="K725" i="9"/>
  <c r="K826" i="9"/>
  <c r="K823" i="9"/>
  <c r="O140" i="9"/>
  <c r="L138" i="9"/>
  <c r="O138" i="9" s="1"/>
  <c r="P285" i="9"/>
  <c r="M283" i="9"/>
  <c r="P283" i="9" s="1"/>
  <c r="O306" i="9"/>
  <c r="L304" i="9"/>
  <c r="O304" i="9" s="1"/>
  <c r="L392" i="9"/>
  <c r="O392" i="9" s="1"/>
  <c r="O394" i="9"/>
  <c r="L391" i="9"/>
  <c r="K651" i="9"/>
  <c r="I628" i="9"/>
  <c r="K628" i="9" s="1"/>
  <c r="N68" i="8"/>
  <c r="N66" i="8" s="1"/>
  <c r="P93" i="8"/>
  <c r="K708" i="8"/>
  <c r="O58" i="9"/>
  <c r="K81" i="9"/>
  <c r="L36" i="8"/>
  <c r="O36" i="8" s="1"/>
  <c r="P58" i="9"/>
  <c r="N280" i="9"/>
  <c r="N279" i="9"/>
  <c r="N277" i="9" s="1"/>
  <c r="L43" i="7"/>
  <c r="L41" i="7" s="1"/>
  <c r="N68" i="7"/>
  <c r="N66" i="7" s="1"/>
  <c r="I233" i="7"/>
  <c r="K233" i="7" s="1"/>
  <c r="P186" i="8"/>
  <c r="M47" i="9"/>
  <c r="P47" i="9" s="1"/>
  <c r="N56" i="9"/>
  <c r="P56" i="9" s="1"/>
  <c r="N90" i="9"/>
  <c r="O96" i="9"/>
  <c r="O137" i="9"/>
  <c r="L135" i="9"/>
  <c r="O135" i="9" s="1"/>
  <c r="K244" i="9"/>
  <c r="I233" i="9"/>
  <c r="K233" i="9" s="1"/>
  <c r="L300" i="8"/>
  <c r="L298" i="8" s="1"/>
  <c r="O791" i="8"/>
  <c r="M68" i="9"/>
  <c r="P68" i="9" s="1"/>
  <c r="L90" i="9"/>
  <c r="L88" i="9" s="1"/>
  <c r="M279" i="9"/>
  <c r="P279" i="9" s="1"/>
  <c r="P285" i="8"/>
  <c r="L321" i="8"/>
  <c r="O321" i="8" s="1"/>
  <c r="O173" i="9"/>
  <c r="L171" i="9"/>
  <c r="O171" i="9" s="1"/>
  <c r="M351" i="9"/>
  <c r="P351" i="9" s="1"/>
  <c r="P353" i="9"/>
  <c r="O58" i="8"/>
  <c r="K111" i="9"/>
  <c r="L26" i="9"/>
  <c r="P74" i="9"/>
  <c r="L134" i="9"/>
  <c r="O134" i="9" s="1"/>
  <c r="L168" i="9"/>
  <c r="L167" i="9"/>
  <c r="L165" i="9" s="1"/>
  <c r="O189" i="9"/>
  <c r="N264" i="9"/>
  <c r="P264" i="9" s="1"/>
  <c r="K288" i="9"/>
  <c r="L300" i="9"/>
  <c r="O300" i="9" s="1"/>
  <c r="L321" i="9"/>
  <c r="O321" i="9" s="1"/>
  <c r="N331" i="9"/>
  <c r="P331" i="9" s="1"/>
  <c r="K338" i="9"/>
  <c r="J364" i="9"/>
  <c r="K822" i="9"/>
  <c r="K176" i="9"/>
  <c r="L183" i="9"/>
  <c r="L231" i="9"/>
  <c r="L249" i="9"/>
  <c r="O249" i="9" s="1"/>
  <c r="K365" i="9"/>
  <c r="O350" i="9"/>
  <c r="O353" i="9"/>
  <c r="L687" i="9"/>
  <c r="L685" i="9" s="1"/>
  <c r="I785" i="9"/>
  <c r="K785" i="9" s="1"/>
  <c r="K827" i="9"/>
  <c r="P140" i="9"/>
  <c r="M167" i="9"/>
  <c r="M165" i="9" s="1"/>
  <c r="K287" i="9"/>
  <c r="M317" i="9"/>
  <c r="P317" i="9" s="1"/>
  <c r="M330" i="9"/>
  <c r="I522" i="9"/>
  <c r="K522" i="9" s="1"/>
  <c r="L688" i="9"/>
  <c r="L209" i="9"/>
  <c r="O209" i="9" s="1"/>
  <c r="O266" i="9"/>
  <c r="P333" i="9"/>
  <c r="O336" i="9"/>
  <c r="N348" i="9"/>
  <c r="O348" i="9" s="1"/>
  <c r="L395" i="9"/>
  <c r="O395" i="9" s="1"/>
  <c r="M168" i="9"/>
  <c r="P266" i="9"/>
  <c r="P269" i="9"/>
  <c r="K309" i="9"/>
  <c r="P320" i="9"/>
  <c r="P336" i="9"/>
  <c r="K828" i="9"/>
  <c r="K365" i="7"/>
  <c r="O140" i="8"/>
  <c r="L317" i="8"/>
  <c r="L330" i="8"/>
  <c r="N68" i="9"/>
  <c r="N66" i="9" s="1"/>
  <c r="O336" i="8"/>
  <c r="P29" i="9"/>
  <c r="L47" i="9"/>
  <c r="O47" i="9" s="1"/>
  <c r="L43" i="9"/>
  <c r="L41" i="9" s="1"/>
  <c r="O49" i="9"/>
  <c r="L317" i="9"/>
  <c r="O317" i="9" s="1"/>
  <c r="O320" i="9"/>
  <c r="L318" i="9"/>
  <c r="O318" i="9" s="1"/>
  <c r="N30" i="9"/>
  <c r="O306" i="7"/>
  <c r="N391" i="7"/>
  <c r="N389" i="7" s="1"/>
  <c r="L90" i="8"/>
  <c r="L88" i="8" s="1"/>
  <c r="J722" i="8"/>
  <c r="K722" i="8" s="1"/>
  <c r="J87" i="9"/>
  <c r="K87" i="9" s="1"/>
  <c r="K99" i="9"/>
  <c r="J143" i="9"/>
  <c r="J131" i="9" s="1"/>
  <c r="K144" i="9"/>
  <c r="L317" i="7"/>
  <c r="O317" i="7" s="1"/>
  <c r="K821" i="7"/>
  <c r="M91" i="8"/>
  <c r="N121" i="8"/>
  <c r="N119" i="8" s="1"/>
  <c r="K145" i="8"/>
  <c r="I143" i="8"/>
  <c r="K143" i="8" s="1"/>
  <c r="L183" i="8"/>
  <c r="L181" i="8" s="1"/>
  <c r="K193" i="8"/>
  <c r="I190" i="8"/>
  <c r="K190" i="8" s="1"/>
  <c r="O333" i="8"/>
  <c r="L687" i="8"/>
  <c r="L685" i="8" s="1"/>
  <c r="L9" i="9"/>
  <c r="N31" i="9"/>
  <c r="M34" i="9"/>
  <c r="P34" i="9" s="1"/>
  <c r="P35" i="9"/>
  <c r="M15" i="9"/>
  <c r="O42" i="9"/>
  <c r="P127" i="9"/>
  <c r="M121" i="9"/>
  <c r="M125" i="9"/>
  <c r="P125" i="9" s="1"/>
  <c r="L228" i="7"/>
  <c r="I785" i="8"/>
  <c r="K785" i="8" s="1"/>
  <c r="K800" i="8"/>
  <c r="N43" i="9"/>
  <c r="N41" i="9" s="1"/>
  <c r="N23" i="9"/>
  <c r="P46" i="9"/>
  <c r="N44" i="9"/>
  <c r="P44" i="9" s="1"/>
  <c r="O46" i="9"/>
  <c r="N121" i="9"/>
  <c r="N119" i="9" s="1"/>
  <c r="N122" i="9"/>
  <c r="O282" i="9"/>
  <c r="L280" i="9"/>
  <c r="O280" i="9" s="1"/>
  <c r="L279" i="9"/>
  <c r="L469" i="7"/>
  <c r="O469" i="7" s="1"/>
  <c r="I130" i="8"/>
  <c r="K130" i="8" s="1"/>
  <c r="O15" i="9"/>
  <c r="N9" i="9"/>
  <c r="O54" i="9"/>
  <c r="K215" i="9"/>
  <c r="I208" i="9"/>
  <c r="K208" i="9" s="1"/>
  <c r="P303" i="9"/>
  <c r="M301" i="9"/>
  <c r="P301" i="9" s="1"/>
  <c r="M300" i="9"/>
  <c r="K98" i="8"/>
  <c r="L134" i="8"/>
  <c r="O134" i="8" s="1"/>
  <c r="L217" i="8"/>
  <c r="O217" i="8" s="1"/>
  <c r="L228" i="8"/>
  <c r="P266" i="8"/>
  <c r="N347" i="8"/>
  <c r="N345" i="8" s="1"/>
  <c r="K385" i="8"/>
  <c r="K723" i="8"/>
  <c r="K728" i="8"/>
  <c r="M26" i="9"/>
  <c r="N29" i="9"/>
  <c r="O67" i="9"/>
  <c r="M72" i="9"/>
  <c r="P72" i="9" s="1"/>
  <c r="P93" i="9"/>
  <c r="M122" i="9"/>
  <c r="P122" i="9" s="1"/>
  <c r="N134" i="9"/>
  <c r="N132" i="9" s="1"/>
  <c r="N151" i="9"/>
  <c r="N149" i="9" s="1"/>
  <c r="P186" i="9"/>
  <c r="L238" i="9"/>
  <c r="L228" i="9"/>
  <c r="I248" i="9"/>
  <c r="P686" i="9"/>
  <c r="O22" i="9"/>
  <c r="N26" i="9"/>
  <c r="O93" i="9"/>
  <c r="N91" i="9"/>
  <c r="O91" i="9" s="1"/>
  <c r="K115" i="9"/>
  <c r="I112" i="9"/>
  <c r="K112" i="9" s="1"/>
  <c r="O186" i="9"/>
  <c r="N184" i="9"/>
  <c r="O184" i="9" s="1"/>
  <c r="M321" i="9"/>
  <c r="P321" i="9" s="1"/>
  <c r="P323" i="9"/>
  <c r="N525" i="9"/>
  <c r="N523" i="9" s="1"/>
  <c r="N526" i="9"/>
  <c r="L29" i="9"/>
  <c r="N167" i="9"/>
  <c r="L330" i="9"/>
  <c r="O333" i="9"/>
  <c r="M523" i="9"/>
  <c r="P523" i="9" s="1"/>
  <c r="P525" i="9"/>
  <c r="N300" i="8"/>
  <c r="N298" i="8" s="1"/>
  <c r="N317" i="8"/>
  <c r="N315" i="8" s="1"/>
  <c r="J327" i="8"/>
  <c r="K327" i="8" s="1"/>
  <c r="K729" i="8"/>
  <c r="K823" i="8"/>
  <c r="K827" i="8"/>
  <c r="L23" i="9"/>
  <c r="L21" i="9" s="1"/>
  <c r="N47" i="9"/>
  <c r="L59" i="9"/>
  <c r="O59" i="9" s="1"/>
  <c r="L68" i="9"/>
  <c r="O68" i="9" s="1"/>
  <c r="L69" i="9"/>
  <c r="O69" i="9" s="1"/>
  <c r="M91" i="9"/>
  <c r="M94" i="9"/>
  <c r="P94" i="9" s="1"/>
  <c r="P133" i="9"/>
  <c r="P137" i="9"/>
  <c r="O170" i="9"/>
  <c r="N168" i="9"/>
  <c r="P168" i="9" s="1"/>
  <c r="M184" i="9"/>
  <c r="M187" i="9"/>
  <c r="P187" i="9" s="1"/>
  <c r="L267" i="9"/>
  <c r="O267" i="9" s="1"/>
  <c r="O12" i="9"/>
  <c r="I86" i="9"/>
  <c r="K86" i="9" s="1"/>
  <c r="K98" i="9"/>
  <c r="K325" i="9"/>
  <c r="I314" i="9"/>
  <c r="K314" i="9" s="1"/>
  <c r="M347" i="9"/>
  <c r="M348" i="9"/>
  <c r="P350" i="9"/>
  <c r="K159" i="9"/>
  <c r="M687" i="9"/>
  <c r="M685" i="9" s="1"/>
  <c r="P685" i="9" s="1"/>
  <c r="M688" i="9"/>
  <c r="P688" i="9" s="1"/>
  <c r="P690" i="9"/>
  <c r="M43" i="9"/>
  <c r="M23" i="9"/>
  <c r="I76" i="9"/>
  <c r="I143" i="9"/>
  <c r="K174" i="9"/>
  <c r="L217" i="9"/>
  <c r="O217" i="9" s="1"/>
  <c r="L263" i="9"/>
  <c r="P278" i="9"/>
  <c r="L229" i="9"/>
  <c r="M263" i="9"/>
  <c r="N300" i="9"/>
  <c r="N298" i="9" s="1"/>
  <c r="O329" i="9"/>
  <c r="M391" i="9"/>
  <c r="M408" i="9"/>
  <c r="P408" i="9" s="1"/>
  <c r="M502" i="9"/>
  <c r="P502" i="9" s="1"/>
  <c r="P504" i="9"/>
  <c r="M547" i="9"/>
  <c r="P547" i="9" s="1"/>
  <c r="P549" i="9"/>
  <c r="O690" i="9"/>
  <c r="N687" i="9"/>
  <c r="N685" i="9" s="1"/>
  <c r="N688" i="9"/>
  <c r="M805" i="9"/>
  <c r="P805" i="9" s="1"/>
  <c r="P807" i="9"/>
  <c r="I434" i="9"/>
  <c r="O479" i="9"/>
  <c r="L477" i="9"/>
  <c r="O477" i="9" s="1"/>
  <c r="L469" i="9"/>
  <c r="O469" i="9" s="1"/>
  <c r="O641" i="9"/>
  <c r="L639" i="9"/>
  <c r="O639" i="9" s="1"/>
  <c r="L631" i="9"/>
  <c r="O316" i="9"/>
  <c r="O346" i="9"/>
  <c r="P445" i="9"/>
  <c r="M444" i="9"/>
  <c r="P444" i="9" s="1"/>
  <c r="J537" i="9"/>
  <c r="J522" i="9" s="1"/>
  <c r="M544" i="9"/>
  <c r="P544" i="9" s="1"/>
  <c r="K672" i="9"/>
  <c r="K675" i="9"/>
  <c r="K674" i="9"/>
  <c r="P755" i="9"/>
  <c r="M754" i="9"/>
  <c r="P754" i="9" s="1"/>
  <c r="O262" i="9"/>
  <c r="M404" i="9"/>
  <c r="J433" i="9"/>
  <c r="J417" i="9" s="1"/>
  <c r="I433" i="9"/>
  <c r="K435" i="9"/>
  <c r="O503" i="9"/>
  <c r="L502" i="9"/>
  <c r="O502" i="9" s="1"/>
  <c r="O524" i="9"/>
  <c r="M629" i="9"/>
  <c r="P629" i="9" s="1"/>
  <c r="O656" i="9"/>
  <c r="K669" i="9"/>
  <c r="O787" i="9"/>
  <c r="M392" i="9"/>
  <c r="P392" i="9" s="1"/>
  <c r="N404" i="9"/>
  <c r="N402" i="9" s="1"/>
  <c r="N421" i="9"/>
  <c r="M467" i="9"/>
  <c r="P467" i="9" s="1"/>
  <c r="O422" i="9"/>
  <c r="L444" i="9"/>
  <c r="O444" i="9" s="1"/>
  <c r="O446" i="9"/>
  <c r="L770" i="9"/>
  <c r="O770" i="9" s="1"/>
  <c r="O772" i="9"/>
  <c r="O449" i="9"/>
  <c r="L447" i="9"/>
  <c r="O447" i="9" s="1"/>
  <c r="O468" i="9"/>
  <c r="K593" i="9"/>
  <c r="I443" i="9"/>
  <c r="K443" i="9" s="1"/>
  <c r="P788" i="9"/>
  <c r="L470" i="9"/>
  <c r="O470" i="9" s="1"/>
  <c r="I559" i="9"/>
  <c r="L658" i="9"/>
  <c r="O658" i="9" s="1"/>
  <c r="N789" i="9"/>
  <c r="L525" i="9"/>
  <c r="O525" i="9" s="1"/>
  <c r="L533" i="9"/>
  <c r="O533" i="9" s="1"/>
  <c r="L805" i="9"/>
  <c r="O805" i="9" s="1"/>
  <c r="N69" i="8"/>
  <c r="I77" i="8"/>
  <c r="I65" i="8" s="1"/>
  <c r="K65" i="8" s="1"/>
  <c r="M167" i="8"/>
  <c r="L279" i="8"/>
  <c r="L277" i="8" s="1"/>
  <c r="N318" i="8"/>
  <c r="O410" i="8"/>
  <c r="K824" i="8"/>
  <c r="K828" i="8"/>
  <c r="N330" i="6"/>
  <c r="N328" i="6" s="1"/>
  <c r="L408" i="7"/>
  <c r="O408" i="7" s="1"/>
  <c r="L121" i="8"/>
  <c r="O121" i="8" s="1"/>
  <c r="M184" i="8"/>
  <c r="P184" i="8" s="1"/>
  <c r="M267" i="8"/>
  <c r="P267" i="8" s="1"/>
  <c r="M280" i="8"/>
  <c r="O306" i="8"/>
  <c r="L347" i="8"/>
  <c r="L345" i="8" s="1"/>
  <c r="O350" i="8"/>
  <c r="P410" i="8"/>
  <c r="M263" i="6"/>
  <c r="M261" i="6" s="1"/>
  <c r="N55" i="8"/>
  <c r="N53" i="8" s="1"/>
  <c r="M121" i="8"/>
  <c r="P121" i="8" s="1"/>
  <c r="P124" i="8"/>
  <c r="L151" i="8"/>
  <c r="O151" i="8" s="1"/>
  <c r="N263" i="8"/>
  <c r="N261" i="8" s="1"/>
  <c r="I276" i="8"/>
  <c r="K276" i="8" s="1"/>
  <c r="N404" i="8"/>
  <c r="N402" i="8" s="1"/>
  <c r="O407" i="8"/>
  <c r="J721" i="8"/>
  <c r="K721" i="8" s="1"/>
  <c r="L283" i="7"/>
  <c r="O283" i="7" s="1"/>
  <c r="K360" i="7"/>
  <c r="K822" i="7"/>
  <c r="M125" i="8"/>
  <c r="P125" i="8" s="1"/>
  <c r="M151" i="8"/>
  <c r="M149" i="8" s="1"/>
  <c r="P149" i="8" s="1"/>
  <c r="O641" i="8"/>
  <c r="P91" i="7"/>
  <c r="L122" i="8"/>
  <c r="O122" i="8" s="1"/>
  <c r="I148" i="8"/>
  <c r="K148" i="8" s="1"/>
  <c r="L238" i="8"/>
  <c r="O238" i="8" s="1"/>
  <c r="L405" i="8"/>
  <c r="O405" i="8" s="1"/>
  <c r="N279" i="8"/>
  <c r="N277" i="8" s="1"/>
  <c r="K726" i="8"/>
  <c r="O266" i="8"/>
  <c r="L264" i="8"/>
  <c r="O264" i="8" s="1"/>
  <c r="L263" i="8"/>
  <c r="I314" i="8"/>
  <c r="K314" i="8" s="1"/>
  <c r="K325" i="8"/>
  <c r="L395" i="8"/>
  <c r="O395" i="8" s="1"/>
  <c r="O397" i="8"/>
  <c r="L391" i="8"/>
  <c r="O391" i="8" s="1"/>
  <c r="K146" i="7"/>
  <c r="I164" i="8"/>
  <c r="K164" i="8" s="1"/>
  <c r="K174" i="8"/>
  <c r="P58" i="8"/>
  <c r="M56" i="8"/>
  <c r="M55" i="8"/>
  <c r="M53" i="8" s="1"/>
  <c r="M392" i="8"/>
  <c r="P392" i="8" s="1"/>
  <c r="P394" i="8"/>
  <c r="M55" i="6"/>
  <c r="M53" i="6" s="1"/>
  <c r="N69" i="7"/>
  <c r="N151" i="8"/>
  <c r="N149" i="8" s="1"/>
  <c r="L477" i="8"/>
  <c r="O477" i="8" s="1"/>
  <c r="O479" i="8"/>
  <c r="O61" i="8"/>
  <c r="L59" i="8"/>
  <c r="O59" i="8" s="1"/>
  <c r="L469" i="8"/>
  <c r="L467" i="8" s="1"/>
  <c r="O467" i="8" s="1"/>
  <c r="N155" i="8"/>
  <c r="N26" i="8"/>
  <c r="N16" i="8" s="1"/>
  <c r="L33" i="8"/>
  <c r="O33" i="8" s="1"/>
  <c r="N167" i="8"/>
  <c r="N165" i="8" s="1"/>
  <c r="K176" i="8"/>
  <c r="O186" i="8"/>
  <c r="M279" i="8"/>
  <c r="M277" i="8" s="1"/>
  <c r="M318" i="8"/>
  <c r="P318" i="8" s="1"/>
  <c r="L546" i="8"/>
  <c r="O546" i="8" s="1"/>
  <c r="K821" i="8"/>
  <c r="P350" i="7"/>
  <c r="L26" i="8"/>
  <c r="L24" i="8" s="1"/>
  <c r="L152" i="8"/>
  <c r="O152" i="8" s="1"/>
  <c r="M168" i="8"/>
  <c r="P168" i="8" s="1"/>
  <c r="L171" i="8"/>
  <c r="O171" i="8" s="1"/>
  <c r="N280" i="8"/>
  <c r="O280" i="8" s="1"/>
  <c r="M321" i="8"/>
  <c r="P321" i="8" s="1"/>
  <c r="K379" i="8"/>
  <c r="L421" i="8"/>
  <c r="O421" i="8" s="1"/>
  <c r="O424" i="8"/>
  <c r="L688" i="8"/>
  <c r="K720" i="8"/>
  <c r="K822" i="8"/>
  <c r="L68" i="8"/>
  <c r="L66" i="8" s="1"/>
  <c r="O66" i="8" s="1"/>
  <c r="M152" i="8"/>
  <c r="P152" i="8" s="1"/>
  <c r="N168" i="8"/>
  <c r="M171" i="8"/>
  <c r="P171" i="8" s="1"/>
  <c r="N391" i="8"/>
  <c r="N389" i="8" s="1"/>
  <c r="O394" i="8"/>
  <c r="M155" i="8"/>
  <c r="P155" i="8" s="1"/>
  <c r="M264" i="8"/>
  <c r="P264" i="8" s="1"/>
  <c r="O634" i="8"/>
  <c r="O690" i="8"/>
  <c r="K826" i="8"/>
  <c r="O49" i="8"/>
  <c r="N56" i="8"/>
  <c r="M59" i="8"/>
  <c r="P59" i="8" s="1"/>
  <c r="M68" i="8"/>
  <c r="L267" i="8"/>
  <c r="O267" i="8" s="1"/>
  <c r="M317" i="8"/>
  <c r="P317" i="8" s="1"/>
  <c r="P397" i="8"/>
  <c r="L47" i="8"/>
  <c r="O47" i="8" s="1"/>
  <c r="K379" i="7"/>
  <c r="L43" i="8"/>
  <c r="L41" i="8" s="1"/>
  <c r="L72" i="8"/>
  <c r="O72" i="8" s="1"/>
  <c r="N183" i="8"/>
  <c r="O403" i="8"/>
  <c r="J433" i="8"/>
  <c r="J417" i="8" s="1"/>
  <c r="K435" i="8"/>
  <c r="I433" i="8"/>
  <c r="N447" i="8"/>
  <c r="N446" i="8"/>
  <c r="N444" i="8" s="1"/>
  <c r="N414" i="8" s="1"/>
  <c r="N33" i="8"/>
  <c r="M546" i="8"/>
  <c r="P546" i="8" s="1"/>
  <c r="M547" i="8"/>
  <c r="P549" i="8"/>
  <c r="M279" i="5"/>
  <c r="M277" i="5" s="1"/>
  <c r="I785" i="6"/>
  <c r="K785" i="6" s="1"/>
  <c r="N43" i="7"/>
  <c r="O74" i="7"/>
  <c r="L90" i="7"/>
  <c r="L88" i="7" s="1"/>
  <c r="P157" i="7"/>
  <c r="L280" i="7"/>
  <c r="O280" i="7" s="1"/>
  <c r="K338" i="7"/>
  <c r="K381" i="7"/>
  <c r="O641" i="7"/>
  <c r="P19" i="8"/>
  <c r="P22" i="8"/>
  <c r="M12" i="8"/>
  <c r="O46" i="8"/>
  <c r="P350" i="8"/>
  <c r="M347" i="8"/>
  <c r="M348" i="8"/>
  <c r="P348" i="8" s="1"/>
  <c r="M419" i="8"/>
  <c r="N756" i="8"/>
  <c r="N754" i="8" s="1"/>
  <c r="N757" i="8"/>
  <c r="P269" i="7"/>
  <c r="O12" i="8"/>
  <c r="O42" i="8"/>
  <c r="M43" i="8"/>
  <c r="M41" i="8" s="1"/>
  <c r="P46" i="8"/>
  <c r="L56" i="8"/>
  <c r="L23" i="8"/>
  <c r="L55" i="8"/>
  <c r="P74" i="8"/>
  <c r="M26" i="8"/>
  <c r="K86" i="8"/>
  <c r="P333" i="8"/>
  <c r="M330" i="8"/>
  <c r="M331" i="8"/>
  <c r="P331" i="8" s="1"/>
  <c r="O71" i="7"/>
  <c r="M125" i="7"/>
  <c r="P125" i="7" s="1"/>
  <c r="N151" i="7"/>
  <c r="N149" i="7" s="1"/>
  <c r="M347" i="7"/>
  <c r="M345" i="7" s="1"/>
  <c r="O22" i="8"/>
  <c r="O29" i="8"/>
  <c r="N43" i="8"/>
  <c r="N23" i="8"/>
  <c r="N44" i="8"/>
  <c r="O44" i="8" s="1"/>
  <c r="P54" i="8"/>
  <c r="K80" i="8"/>
  <c r="I76" i="8"/>
  <c r="P96" i="8"/>
  <c r="M94" i="8"/>
  <c r="P94" i="8" s="1"/>
  <c r="O150" i="8"/>
  <c r="M187" i="8"/>
  <c r="P187" i="8" s="1"/>
  <c r="K701" i="6"/>
  <c r="L44" i="7"/>
  <c r="L152" i="7"/>
  <c r="O152" i="7" s="1"/>
  <c r="L231" i="7"/>
  <c r="M15" i="8"/>
  <c r="M23" i="8"/>
  <c r="M21" i="8" s="1"/>
  <c r="P32" i="8"/>
  <c r="M29" i="8"/>
  <c r="M90" i="8"/>
  <c r="M88" i="8" s="1"/>
  <c r="N91" i="8"/>
  <c r="N90" i="8"/>
  <c r="N88" i="8" s="1"/>
  <c r="O127" i="8"/>
  <c r="M134" i="8"/>
  <c r="P134" i="8" s="1"/>
  <c r="P137" i="8"/>
  <c r="O157" i="8"/>
  <c r="L168" i="8"/>
  <c r="O168" i="8" s="1"/>
  <c r="L167" i="8"/>
  <c r="K594" i="8"/>
  <c r="O9" i="8"/>
  <c r="L405" i="7"/>
  <c r="O405" i="7" s="1"/>
  <c r="L470" i="7"/>
  <c r="O120" i="8"/>
  <c r="N134" i="8"/>
  <c r="N132" i="8" s="1"/>
  <c r="N135" i="8"/>
  <c r="L229" i="8"/>
  <c r="O299" i="8"/>
  <c r="M422" i="8"/>
  <c r="P422" i="8" s="1"/>
  <c r="P424" i="8"/>
  <c r="L279" i="6"/>
  <c r="O279" i="6" s="1"/>
  <c r="L230" i="7"/>
  <c r="K385" i="7"/>
  <c r="K649" i="7"/>
  <c r="J721" i="7"/>
  <c r="I785" i="7"/>
  <c r="K785" i="7" s="1"/>
  <c r="L19" i="8"/>
  <c r="M44" i="8"/>
  <c r="M72" i="8"/>
  <c r="P72" i="8" s="1"/>
  <c r="L94" i="8"/>
  <c r="O94" i="8" s="1"/>
  <c r="K115" i="8"/>
  <c r="I112" i="8"/>
  <c r="K112" i="8" s="1"/>
  <c r="L198" i="8"/>
  <c r="O198" i="8" s="1"/>
  <c r="I208" i="8"/>
  <c r="K208" i="8" s="1"/>
  <c r="K215" i="8"/>
  <c r="K236" i="8"/>
  <c r="I260" i="8"/>
  <c r="K260" i="8" s="1"/>
  <c r="K271" i="8"/>
  <c r="I87" i="8"/>
  <c r="K87" i="8" s="1"/>
  <c r="K99" i="8"/>
  <c r="K224" i="8"/>
  <c r="I216" i="8"/>
  <c r="K216" i="8" s="1"/>
  <c r="M301" i="8"/>
  <c r="P301" i="8" s="1"/>
  <c r="M300" i="8"/>
  <c r="P303" i="8"/>
  <c r="N15" i="8"/>
  <c r="O137" i="8"/>
  <c r="P170" i="8"/>
  <c r="M183" i="8"/>
  <c r="L230" i="8"/>
  <c r="L249" i="8"/>
  <c r="O249" i="8" s="1"/>
  <c r="K255" i="8"/>
  <c r="I248" i="8"/>
  <c r="I233" i="8"/>
  <c r="K233" i="8" s="1"/>
  <c r="M263" i="8"/>
  <c r="L301" i="8"/>
  <c r="O301" i="8" s="1"/>
  <c r="O331" i="8"/>
  <c r="O348" i="8"/>
  <c r="P353" i="8"/>
  <c r="K381" i="8"/>
  <c r="M391" i="8"/>
  <c r="P391" i="8" s="1"/>
  <c r="I443" i="8"/>
  <c r="K443" i="8" s="1"/>
  <c r="I442" i="8"/>
  <c r="K442" i="8" s="1"/>
  <c r="K460" i="8"/>
  <c r="O549" i="8"/>
  <c r="N547" i="8"/>
  <c r="P690" i="8"/>
  <c r="M805" i="8"/>
  <c r="P805" i="8" s="1"/>
  <c r="P807" i="8"/>
  <c r="J226" i="8"/>
  <c r="J180" i="8" s="1"/>
  <c r="I297" i="8"/>
  <c r="K297" i="8" s="1"/>
  <c r="O303" i="8"/>
  <c r="O353" i="8"/>
  <c r="N351" i="8"/>
  <c r="O351" i="8" s="1"/>
  <c r="J537" i="8"/>
  <c r="J522" i="8" s="1"/>
  <c r="I522" i="8"/>
  <c r="K522" i="8" s="1"/>
  <c r="K592" i="8"/>
  <c r="J288" i="8"/>
  <c r="J275" i="8" s="1"/>
  <c r="K275" i="8" s="1"/>
  <c r="I364" i="8"/>
  <c r="O420" i="8"/>
  <c r="O431" i="8"/>
  <c r="O472" i="8"/>
  <c r="L470" i="8"/>
  <c r="O470" i="8" s="1"/>
  <c r="K537" i="8"/>
  <c r="P555" i="8"/>
  <c r="M545" i="8"/>
  <c r="L737" i="8"/>
  <c r="O737" i="8" s="1"/>
  <c r="O739" i="8"/>
  <c r="M47" i="8"/>
  <c r="P47" i="8" s="1"/>
  <c r="M69" i="8"/>
  <c r="P69" i="8" s="1"/>
  <c r="K79" i="8"/>
  <c r="L91" i="8"/>
  <c r="M138" i="8"/>
  <c r="P138" i="8" s="1"/>
  <c r="O184" i="8"/>
  <c r="L209" i="8"/>
  <c r="O209" i="8" s="1"/>
  <c r="O282" i="8"/>
  <c r="M334" i="8"/>
  <c r="P334" i="8" s="1"/>
  <c r="M351" i="8"/>
  <c r="O390" i="8"/>
  <c r="M404" i="8"/>
  <c r="P407" i="8"/>
  <c r="M405" i="8"/>
  <c r="P405" i="8" s="1"/>
  <c r="K576" i="8"/>
  <c r="I559" i="8"/>
  <c r="K593" i="8"/>
  <c r="J592" i="8"/>
  <c r="L655" i="8"/>
  <c r="O655" i="8" s="1"/>
  <c r="O657" i="8"/>
  <c r="P755" i="8"/>
  <c r="M754" i="8"/>
  <c r="P754" i="8" s="1"/>
  <c r="O787" i="8"/>
  <c r="P503" i="8"/>
  <c r="M502" i="8"/>
  <c r="P502" i="8" s="1"/>
  <c r="P524" i="8"/>
  <c r="M523" i="8"/>
  <c r="P523" i="8" s="1"/>
  <c r="O285" i="8"/>
  <c r="P306" i="8"/>
  <c r="K338" i="8"/>
  <c r="J364" i="8"/>
  <c r="P445" i="8"/>
  <c r="K672" i="8"/>
  <c r="K675" i="8"/>
  <c r="K669" i="8"/>
  <c r="K674" i="8"/>
  <c r="I654" i="8"/>
  <c r="K654" i="8" s="1"/>
  <c r="M688" i="8"/>
  <c r="L770" i="8"/>
  <c r="O770" i="8" s="1"/>
  <c r="O772" i="8"/>
  <c r="L446" i="8"/>
  <c r="O446" i="8" s="1"/>
  <c r="O449" i="8"/>
  <c r="M449" i="8"/>
  <c r="L447" i="8"/>
  <c r="O447" i="8" s="1"/>
  <c r="P468" i="8"/>
  <c r="M467" i="8"/>
  <c r="P467" i="8" s="1"/>
  <c r="L525" i="8"/>
  <c r="L526" i="8"/>
  <c r="O526" i="8" s="1"/>
  <c r="O557" i="8"/>
  <c r="L555" i="8"/>
  <c r="O555" i="8" s="1"/>
  <c r="P687" i="8"/>
  <c r="K725" i="8"/>
  <c r="M685" i="8"/>
  <c r="N688" i="8"/>
  <c r="P788" i="8"/>
  <c r="L658" i="8"/>
  <c r="O658" i="8" s="1"/>
  <c r="M660" i="8"/>
  <c r="L422" i="8"/>
  <c r="O422" i="8" s="1"/>
  <c r="L533" i="8"/>
  <c r="O533" i="8" s="1"/>
  <c r="N687" i="8"/>
  <c r="N685" i="8" s="1"/>
  <c r="N789" i="8"/>
  <c r="I434" i="8"/>
  <c r="L454" i="8"/>
  <c r="O454" i="8" s="1"/>
  <c r="L547" i="8"/>
  <c r="O547" i="8" s="1"/>
  <c r="O660" i="8"/>
  <c r="L805" i="8"/>
  <c r="O805" i="8" s="1"/>
  <c r="O303" i="7"/>
  <c r="K672" i="7"/>
  <c r="L788" i="7"/>
  <c r="O788" i="7" s="1"/>
  <c r="K828" i="7"/>
  <c r="P58" i="7"/>
  <c r="K378" i="7"/>
  <c r="L300" i="6"/>
  <c r="L298" i="6" s="1"/>
  <c r="N55" i="7"/>
  <c r="N53" i="7" s="1"/>
  <c r="O96" i="7"/>
  <c r="L391" i="7"/>
  <c r="O391" i="7" s="1"/>
  <c r="K647" i="7"/>
  <c r="P58" i="4"/>
  <c r="L94" i="7"/>
  <c r="O94" i="7" s="1"/>
  <c r="O170" i="7"/>
  <c r="O331" i="4"/>
  <c r="P285" i="7"/>
  <c r="O350" i="7"/>
  <c r="K369" i="7"/>
  <c r="O407" i="7"/>
  <c r="O59" i="7"/>
  <c r="L454" i="7"/>
  <c r="O454" i="7" s="1"/>
  <c r="K669" i="7"/>
  <c r="P61" i="7"/>
  <c r="L69" i="7"/>
  <c r="O69" i="7" s="1"/>
  <c r="I86" i="7"/>
  <c r="K86" i="7" s="1"/>
  <c r="M171" i="7"/>
  <c r="P171" i="7" s="1"/>
  <c r="L238" i="7"/>
  <c r="O238" i="7" s="1"/>
  <c r="L279" i="7"/>
  <c r="O279" i="7" s="1"/>
  <c r="N348" i="7"/>
  <c r="O348" i="7" s="1"/>
  <c r="I654" i="7"/>
  <c r="K654" i="7" s="1"/>
  <c r="I442" i="7"/>
  <c r="K442" i="7" s="1"/>
  <c r="K460" i="7"/>
  <c r="K723" i="6"/>
  <c r="L321" i="7"/>
  <c r="O321" i="7" s="1"/>
  <c r="O323" i="7"/>
  <c r="L687" i="7"/>
  <c r="O687" i="7" s="1"/>
  <c r="O535" i="6"/>
  <c r="M55" i="7"/>
  <c r="M53" i="7" s="1"/>
  <c r="O58" i="7"/>
  <c r="M72" i="7"/>
  <c r="P72" i="7" s="1"/>
  <c r="I76" i="7"/>
  <c r="I64" i="7" s="1"/>
  <c r="K64" i="7" s="1"/>
  <c r="M135" i="7"/>
  <c r="P135" i="7" s="1"/>
  <c r="P137" i="7"/>
  <c r="K255" i="7"/>
  <c r="M321" i="7"/>
  <c r="P321" i="7" s="1"/>
  <c r="P323" i="7"/>
  <c r="N404" i="7"/>
  <c r="N402" i="7" s="1"/>
  <c r="O690" i="7"/>
  <c r="L125" i="6"/>
  <c r="O125" i="6" s="1"/>
  <c r="O154" i="6"/>
  <c r="M43" i="7"/>
  <c r="M41" i="7" s="1"/>
  <c r="M56" i="7"/>
  <c r="L26" i="7"/>
  <c r="L24" i="7" s="1"/>
  <c r="L167" i="7"/>
  <c r="L165" i="7" s="1"/>
  <c r="O173" i="7"/>
  <c r="L171" i="7"/>
  <c r="O171" i="7" s="1"/>
  <c r="L198" i="7"/>
  <c r="O198" i="7" s="1"/>
  <c r="L331" i="7"/>
  <c r="O333" i="7"/>
  <c r="O397" i="7"/>
  <c r="L395" i="7"/>
  <c r="O395" i="7" s="1"/>
  <c r="K823" i="7"/>
  <c r="K827" i="7"/>
  <c r="P140" i="7"/>
  <c r="M138" i="7"/>
  <c r="P138" i="7" s="1"/>
  <c r="I77" i="6"/>
  <c r="K77" i="6" s="1"/>
  <c r="O49" i="7"/>
  <c r="N56" i="7"/>
  <c r="O56" i="7" s="1"/>
  <c r="O137" i="7"/>
  <c r="K288" i="7"/>
  <c r="J288" i="7"/>
  <c r="J275" i="7" s="1"/>
  <c r="M331" i="7"/>
  <c r="P333" i="7"/>
  <c r="L183" i="5"/>
  <c r="L181" i="5" s="1"/>
  <c r="K271" i="5"/>
  <c r="L392" i="6"/>
  <c r="O392" i="6" s="1"/>
  <c r="L391" i="6"/>
  <c r="O391" i="6" s="1"/>
  <c r="M59" i="7"/>
  <c r="P59" i="7" s="1"/>
  <c r="N90" i="7"/>
  <c r="N88" i="7" s="1"/>
  <c r="P93" i="7"/>
  <c r="L121" i="7"/>
  <c r="O121" i="7" s="1"/>
  <c r="O124" i="7"/>
  <c r="L122" i="7"/>
  <c r="O122" i="7" s="1"/>
  <c r="M168" i="7"/>
  <c r="P168" i="7" s="1"/>
  <c r="M167" i="7"/>
  <c r="M165" i="7" s="1"/>
  <c r="N264" i="7"/>
  <c r="O264" i="7" s="1"/>
  <c r="N263" i="7"/>
  <c r="N261" i="7" s="1"/>
  <c r="K271" i="7"/>
  <c r="I260" i="7"/>
  <c r="K260" i="7" s="1"/>
  <c r="N318" i="7"/>
  <c r="N317" i="7"/>
  <c r="N315" i="7" s="1"/>
  <c r="N331" i="7"/>
  <c r="N330" i="7"/>
  <c r="N328" i="7" s="1"/>
  <c r="M424" i="7"/>
  <c r="M421" i="7" s="1"/>
  <c r="P421" i="7" s="1"/>
  <c r="O431" i="7"/>
  <c r="O791" i="7"/>
  <c r="P394" i="5"/>
  <c r="M68" i="7"/>
  <c r="P68" i="7" s="1"/>
  <c r="I275" i="7"/>
  <c r="K275" i="7" s="1"/>
  <c r="N347" i="7"/>
  <c r="L392" i="7"/>
  <c r="O392" i="7" s="1"/>
  <c r="O394" i="7"/>
  <c r="O424" i="7"/>
  <c r="L347" i="5"/>
  <c r="L345" i="5" s="1"/>
  <c r="M267" i="6"/>
  <c r="P267" i="6" s="1"/>
  <c r="M317" i="6"/>
  <c r="P317" i="6" s="1"/>
  <c r="L33" i="7"/>
  <c r="O33" i="7" s="1"/>
  <c r="M44" i="7"/>
  <c r="M94" i="7"/>
  <c r="P94" i="7" s="1"/>
  <c r="N121" i="7"/>
  <c r="N119" i="7" s="1"/>
  <c r="N122" i="7"/>
  <c r="P170" i="7"/>
  <c r="L183" i="7"/>
  <c r="L181" i="7" s="1"/>
  <c r="L187" i="7"/>
  <c r="O187" i="7" s="1"/>
  <c r="O189" i="7"/>
  <c r="I197" i="7"/>
  <c r="K197" i="7" s="1"/>
  <c r="K204" i="7"/>
  <c r="J327" i="7"/>
  <c r="K327" i="7" s="1"/>
  <c r="P394" i="7"/>
  <c r="M391" i="7"/>
  <c r="P391" i="7" s="1"/>
  <c r="L421" i="7"/>
  <c r="O421" i="7" s="1"/>
  <c r="M634" i="7"/>
  <c r="P634" i="7" s="1"/>
  <c r="L631" i="7"/>
  <c r="L629" i="7" s="1"/>
  <c r="O629" i="7" s="1"/>
  <c r="L209" i="7"/>
  <c r="O209" i="7" s="1"/>
  <c r="K372" i="7"/>
  <c r="I522" i="7"/>
  <c r="K522" i="7" s="1"/>
  <c r="K628" i="7"/>
  <c r="K824" i="7"/>
  <c r="J722" i="7"/>
  <c r="L151" i="7"/>
  <c r="P184" i="7"/>
  <c r="K359" i="7"/>
  <c r="J433" i="7"/>
  <c r="J417" i="7" s="1"/>
  <c r="K462" i="7"/>
  <c r="M472" i="7"/>
  <c r="P472" i="7" s="1"/>
  <c r="K651" i="7"/>
  <c r="O660" i="7"/>
  <c r="K674" i="7"/>
  <c r="L300" i="7"/>
  <c r="K340" i="7"/>
  <c r="K374" i="7"/>
  <c r="M395" i="7"/>
  <c r="P395" i="7" s="1"/>
  <c r="L446" i="7"/>
  <c r="O449" i="7"/>
  <c r="O472" i="7"/>
  <c r="P351" i="7"/>
  <c r="K370" i="7"/>
  <c r="K675" i="7"/>
  <c r="P15" i="7"/>
  <c r="O19" i="7"/>
  <c r="I164" i="7"/>
  <c r="L217" i="6"/>
  <c r="O217" i="6" s="1"/>
  <c r="M283" i="6"/>
  <c r="P283" i="6" s="1"/>
  <c r="J288" i="6"/>
  <c r="J275" i="6" s="1"/>
  <c r="O479" i="6"/>
  <c r="K828" i="6"/>
  <c r="L12" i="7"/>
  <c r="N19" i="7"/>
  <c r="O22" i="7"/>
  <c r="N44" i="7"/>
  <c r="O46" i="7"/>
  <c r="K82" i="7"/>
  <c r="M90" i="7"/>
  <c r="O93" i="7"/>
  <c r="L138" i="7"/>
  <c r="O138" i="7" s="1"/>
  <c r="I143" i="7"/>
  <c r="P150" i="7"/>
  <c r="K176" i="7"/>
  <c r="P186" i="7"/>
  <c r="I216" i="7"/>
  <c r="K216" i="7" s="1"/>
  <c r="M264" i="7"/>
  <c r="M263" i="7"/>
  <c r="P266" i="7"/>
  <c r="P278" i="7"/>
  <c r="N300" i="7"/>
  <c r="N298" i="7" s="1"/>
  <c r="O346" i="7"/>
  <c r="P32" i="7"/>
  <c r="O67" i="7"/>
  <c r="K98" i="5"/>
  <c r="O137" i="6"/>
  <c r="M12" i="7"/>
  <c r="M26" i="7"/>
  <c r="O29" i="7"/>
  <c r="P46" i="7"/>
  <c r="K99" i="7"/>
  <c r="M151" i="7"/>
  <c r="P151" i="7" s="1"/>
  <c r="P154" i="7"/>
  <c r="O329" i="7"/>
  <c r="J355" i="7"/>
  <c r="K355" i="7" s="1"/>
  <c r="K362" i="7"/>
  <c r="P410" i="7"/>
  <c r="M408" i="7"/>
  <c r="P408" i="7" s="1"/>
  <c r="P445" i="7"/>
  <c r="M444" i="7"/>
  <c r="P444" i="7" s="1"/>
  <c r="O535" i="7"/>
  <c r="L533" i="7"/>
  <c r="O533" i="7" s="1"/>
  <c r="L36" i="7"/>
  <c r="P807" i="7"/>
  <c r="M805" i="7"/>
  <c r="P805" i="7" s="1"/>
  <c r="K215" i="7"/>
  <c r="I208" i="7"/>
  <c r="K208" i="7" s="1"/>
  <c r="L263" i="7"/>
  <c r="L167" i="6"/>
  <c r="L165" i="6" s="1"/>
  <c r="K378" i="6"/>
  <c r="N12" i="7"/>
  <c r="L23" i="7"/>
  <c r="L21" i="7" s="1"/>
  <c r="N26" i="7"/>
  <c r="M29" i="7"/>
  <c r="M121" i="7"/>
  <c r="P121" i="7" s="1"/>
  <c r="P124" i="7"/>
  <c r="L134" i="7"/>
  <c r="O134" i="7" s="1"/>
  <c r="J143" i="7"/>
  <c r="J131" i="7" s="1"/>
  <c r="N167" i="7"/>
  <c r="N165" i="7" s="1"/>
  <c r="M187" i="7"/>
  <c r="P187" i="7" s="1"/>
  <c r="O266" i="7"/>
  <c r="P407" i="7"/>
  <c r="M405" i="7"/>
  <c r="P405" i="7" s="1"/>
  <c r="M404" i="7"/>
  <c r="K115" i="7"/>
  <c r="I112" i="7"/>
  <c r="K112" i="7" s="1"/>
  <c r="P316" i="7"/>
  <c r="L138" i="3"/>
  <c r="O138" i="3" s="1"/>
  <c r="J364" i="6"/>
  <c r="L395" i="6"/>
  <c r="O395" i="6" s="1"/>
  <c r="L446" i="6"/>
  <c r="L444" i="6" s="1"/>
  <c r="O444" i="6" s="1"/>
  <c r="M23" i="7"/>
  <c r="N29" i="7"/>
  <c r="N28" i="7" s="1"/>
  <c r="N31" i="7"/>
  <c r="M47" i="7"/>
  <c r="P47" i="7" s="1"/>
  <c r="O61" i="7"/>
  <c r="I77" i="7"/>
  <c r="K79" i="7"/>
  <c r="M134" i="7"/>
  <c r="I237" i="7"/>
  <c r="L249" i="7"/>
  <c r="O249" i="7" s="1"/>
  <c r="L330" i="7"/>
  <c r="O336" i="7"/>
  <c r="L334" i="7"/>
  <c r="O334" i="7" s="1"/>
  <c r="L347" i="7"/>
  <c r="O353" i="7"/>
  <c r="L351" i="7"/>
  <c r="O351" i="7" s="1"/>
  <c r="O634" i="7"/>
  <c r="N632" i="7"/>
  <c r="N631" i="7"/>
  <c r="N629" i="7" s="1"/>
  <c r="N43" i="6"/>
  <c r="N41" i="6" s="1"/>
  <c r="N167" i="6"/>
  <c r="N165" i="6" s="1"/>
  <c r="M183" i="6"/>
  <c r="M181" i="6" s="1"/>
  <c r="K338" i="6"/>
  <c r="K369" i="6"/>
  <c r="N23" i="7"/>
  <c r="N21" i="7" s="1"/>
  <c r="N134" i="7"/>
  <c r="N132" i="7" s="1"/>
  <c r="O262" i="7"/>
  <c r="J364" i="7"/>
  <c r="J537" i="7"/>
  <c r="J522" i="7" s="1"/>
  <c r="P555" i="7"/>
  <c r="M545" i="7"/>
  <c r="K359" i="5"/>
  <c r="I275" i="6"/>
  <c r="K275" i="6" s="1"/>
  <c r="K700" i="6"/>
  <c r="P71" i="7"/>
  <c r="M69" i="7"/>
  <c r="P69" i="7" s="1"/>
  <c r="M183" i="7"/>
  <c r="M181" i="7" s="1"/>
  <c r="O186" i="7"/>
  <c r="P262" i="7"/>
  <c r="I276" i="7"/>
  <c r="K276" i="7" s="1"/>
  <c r="K287" i="7"/>
  <c r="P306" i="7"/>
  <c r="M304" i="7"/>
  <c r="P304" i="7" s="1"/>
  <c r="K325" i="7"/>
  <c r="I314" i="7"/>
  <c r="K314" i="7" s="1"/>
  <c r="K576" i="7"/>
  <c r="I559" i="7"/>
  <c r="K593" i="7"/>
  <c r="J592" i="7"/>
  <c r="K701" i="4"/>
  <c r="P303" i="6"/>
  <c r="K340" i="6"/>
  <c r="I364" i="6"/>
  <c r="L55" i="7"/>
  <c r="K159" i="7"/>
  <c r="J164" i="7"/>
  <c r="N183" i="7"/>
  <c r="I190" i="7"/>
  <c r="K190" i="7" s="1"/>
  <c r="K193" i="7"/>
  <c r="L217" i="7"/>
  <c r="O217" i="7" s="1"/>
  <c r="L267" i="7"/>
  <c r="O267" i="7" s="1"/>
  <c r="O269" i="7"/>
  <c r="P303" i="7"/>
  <c r="M301" i="7"/>
  <c r="P301" i="7" s="1"/>
  <c r="M300" i="7"/>
  <c r="O503" i="7"/>
  <c r="L502" i="7"/>
  <c r="O502" i="7" s="1"/>
  <c r="M279" i="7"/>
  <c r="P279" i="7" s="1"/>
  <c r="P329" i="7"/>
  <c r="P346" i="7"/>
  <c r="N470" i="7"/>
  <c r="N523" i="7"/>
  <c r="L546" i="7"/>
  <c r="O546" i="7" s="1"/>
  <c r="O557" i="7"/>
  <c r="L555" i="7"/>
  <c r="O555" i="7" s="1"/>
  <c r="L91" i="7"/>
  <c r="O91" i="7" s="1"/>
  <c r="L125" i="7"/>
  <c r="O125" i="7" s="1"/>
  <c r="L155" i="7"/>
  <c r="O155" i="7" s="1"/>
  <c r="L168" i="7"/>
  <c r="O168" i="7" s="1"/>
  <c r="L184" i="7"/>
  <c r="O184" i="7" s="1"/>
  <c r="K309" i="7"/>
  <c r="M317" i="7"/>
  <c r="P317" i="7" s="1"/>
  <c r="M318" i="7"/>
  <c r="P318" i="7" s="1"/>
  <c r="P336" i="7"/>
  <c r="P353" i="7"/>
  <c r="K438" i="7"/>
  <c r="I434" i="7"/>
  <c r="N502" i="7"/>
  <c r="O545" i="7"/>
  <c r="P549" i="7"/>
  <c r="M547" i="7"/>
  <c r="P547" i="7" s="1"/>
  <c r="O787" i="7"/>
  <c r="N279" i="7"/>
  <c r="N277" i="7" s="1"/>
  <c r="N280" i="7"/>
  <c r="M330" i="7"/>
  <c r="O468" i="7"/>
  <c r="O806" i="7"/>
  <c r="L805" i="7"/>
  <c r="O805" i="7" s="1"/>
  <c r="L229" i="7"/>
  <c r="M280" i="7"/>
  <c r="P280" i="7" s="1"/>
  <c r="O316" i="7"/>
  <c r="L318" i="7"/>
  <c r="O318" i="7" s="1"/>
  <c r="I364" i="7"/>
  <c r="M392" i="7"/>
  <c r="P392" i="7" s="1"/>
  <c r="O420" i="7"/>
  <c r="I433" i="7"/>
  <c r="L525" i="7"/>
  <c r="O525" i="7" s="1"/>
  <c r="M546" i="7"/>
  <c r="P546" i="7" s="1"/>
  <c r="K592" i="7"/>
  <c r="O686" i="7"/>
  <c r="P755" i="7"/>
  <c r="M754" i="7"/>
  <c r="P754" i="7" s="1"/>
  <c r="O524" i="7"/>
  <c r="M786" i="7"/>
  <c r="P786" i="7" s="1"/>
  <c r="P788" i="7"/>
  <c r="N788" i="7"/>
  <c r="N786" i="7" s="1"/>
  <c r="N789" i="7"/>
  <c r="N447" i="7"/>
  <c r="O528" i="7"/>
  <c r="N422" i="7"/>
  <c r="O422" i="7" s="1"/>
  <c r="L547" i="7"/>
  <c r="O547" i="7" s="1"/>
  <c r="L477" i="7"/>
  <c r="O477" i="7" s="1"/>
  <c r="L632" i="7"/>
  <c r="M138" i="5"/>
  <c r="P138" i="5" s="1"/>
  <c r="L33" i="6"/>
  <c r="L31" i="6" s="1"/>
  <c r="O31" i="6" s="1"/>
  <c r="P71" i="6"/>
  <c r="P154" i="6"/>
  <c r="O157" i="6"/>
  <c r="N183" i="6"/>
  <c r="N181" i="6" s="1"/>
  <c r="N300" i="6"/>
  <c r="P323" i="6"/>
  <c r="N331" i="6"/>
  <c r="O331" i="6" s="1"/>
  <c r="K379" i="6"/>
  <c r="K385" i="6"/>
  <c r="M424" i="6"/>
  <c r="M421" i="6" s="1"/>
  <c r="M419" i="6" s="1"/>
  <c r="I442" i="6"/>
  <c r="K442" i="6" s="1"/>
  <c r="K593" i="6"/>
  <c r="J722" i="6"/>
  <c r="K722" i="6" s="1"/>
  <c r="L229" i="3"/>
  <c r="N68" i="6"/>
  <c r="N66" i="6" s="1"/>
  <c r="N317" i="6"/>
  <c r="N315" i="6" s="1"/>
  <c r="L321" i="6"/>
  <c r="O321" i="6" s="1"/>
  <c r="L421" i="6"/>
  <c r="O421" i="6" s="1"/>
  <c r="O690" i="6"/>
  <c r="I388" i="1"/>
  <c r="K388" i="1" s="1"/>
  <c r="N167" i="3"/>
  <c r="N165" i="3" s="1"/>
  <c r="N121" i="5"/>
  <c r="N119" i="5" s="1"/>
  <c r="L217" i="5"/>
  <c r="O217" i="5" s="1"/>
  <c r="P59" i="6"/>
  <c r="L68" i="6"/>
  <c r="L66" i="6" s="1"/>
  <c r="K159" i="6"/>
  <c r="K370" i="6"/>
  <c r="K374" i="6"/>
  <c r="L404" i="6"/>
  <c r="O404" i="6" s="1"/>
  <c r="O410" i="6"/>
  <c r="P690" i="6"/>
  <c r="L788" i="6"/>
  <c r="O788" i="6" s="1"/>
  <c r="K821" i="3"/>
  <c r="K825" i="3"/>
  <c r="O189" i="5"/>
  <c r="P348" i="5"/>
  <c r="P49" i="6"/>
  <c r="M68" i="6"/>
  <c r="M66" i="6" s="1"/>
  <c r="I260" i="6"/>
  <c r="K260" i="6" s="1"/>
  <c r="O333" i="6"/>
  <c r="K360" i="6"/>
  <c r="K381" i="6"/>
  <c r="L422" i="6"/>
  <c r="O422" i="6" s="1"/>
  <c r="K466" i="6"/>
  <c r="L469" i="6"/>
  <c r="O469" i="6" s="1"/>
  <c r="L525" i="6"/>
  <c r="O525" i="6" s="1"/>
  <c r="K699" i="6"/>
  <c r="M43" i="5"/>
  <c r="M41" i="5" s="1"/>
  <c r="K355" i="5"/>
  <c r="P58" i="6"/>
  <c r="P61" i="6"/>
  <c r="N69" i="6"/>
  <c r="O69" i="6" s="1"/>
  <c r="N134" i="6"/>
  <c r="N132" i="6" s="1"/>
  <c r="I237" i="6"/>
  <c r="K237" i="6" s="1"/>
  <c r="L228" i="6"/>
  <c r="L263" i="6"/>
  <c r="L261" i="6" s="1"/>
  <c r="O528" i="6"/>
  <c r="K822" i="6"/>
  <c r="M134" i="6"/>
  <c r="M132" i="6" s="1"/>
  <c r="P132" i="6" s="1"/>
  <c r="L687" i="6"/>
  <c r="L685" i="6" s="1"/>
  <c r="M90" i="5"/>
  <c r="M88" i="5" s="1"/>
  <c r="L36" i="5"/>
  <c r="O36" i="5" s="1"/>
  <c r="I112" i="6"/>
  <c r="K112" i="6" s="1"/>
  <c r="I233" i="6"/>
  <c r="K233" i="6" s="1"/>
  <c r="L317" i="6"/>
  <c r="O317" i="6" s="1"/>
  <c r="L334" i="6"/>
  <c r="O334" i="6" s="1"/>
  <c r="L688" i="6"/>
  <c r="O688" i="6" s="1"/>
  <c r="K823" i="6"/>
  <c r="K827" i="6"/>
  <c r="L639" i="6"/>
  <c r="O639" i="6" s="1"/>
  <c r="O641" i="6"/>
  <c r="L55" i="6"/>
  <c r="L53" i="6" s="1"/>
  <c r="M90" i="6"/>
  <c r="M88" i="6" s="1"/>
  <c r="N121" i="6"/>
  <c r="N119" i="6" s="1"/>
  <c r="P152" i="6"/>
  <c r="O170" i="6"/>
  <c r="I433" i="6"/>
  <c r="I417" i="6" s="1"/>
  <c r="K435" i="6"/>
  <c r="N90" i="4"/>
  <c r="N88" i="4" s="1"/>
  <c r="M330" i="5"/>
  <c r="M328" i="5" s="1"/>
  <c r="L36" i="6"/>
  <c r="K115" i="6"/>
  <c r="M121" i="6"/>
  <c r="M171" i="6"/>
  <c r="P171" i="6" s="1"/>
  <c r="P186" i="6"/>
  <c r="L209" i="6"/>
  <c r="O209" i="6" s="1"/>
  <c r="M125" i="5"/>
  <c r="P125" i="5" s="1"/>
  <c r="M449" i="5"/>
  <c r="M446" i="5" s="1"/>
  <c r="M444" i="5" s="1"/>
  <c r="P444" i="5" s="1"/>
  <c r="M94" i="6"/>
  <c r="P94" i="6" s="1"/>
  <c r="M122" i="6"/>
  <c r="P122" i="6" s="1"/>
  <c r="N125" i="6"/>
  <c r="P127" i="6"/>
  <c r="L134" i="6"/>
  <c r="N168" i="6"/>
  <c r="O168" i="6" s="1"/>
  <c r="M187" i="6"/>
  <c r="P187" i="6" s="1"/>
  <c r="N263" i="6"/>
  <c r="M300" i="6"/>
  <c r="O303" i="6"/>
  <c r="O306" i="6"/>
  <c r="N347" i="6"/>
  <c r="N345" i="6" s="1"/>
  <c r="M391" i="6"/>
  <c r="O407" i="6"/>
  <c r="L351" i="5"/>
  <c r="J721" i="5"/>
  <c r="L59" i="6"/>
  <c r="O59" i="6" s="1"/>
  <c r="O61" i="6"/>
  <c r="N184" i="6"/>
  <c r="O184" i="6" s="1"/>
  <c r="L267" i="6"/>
  <c r="O267" i="6" s="1"/>
  <c r="L301" i="6"/>
  <c r="O301" i="6" s="1"/>
  <c r="O350" i="6"/>
  <c r="L657" i="5"/>
  <c r="O657" i="5" s="1"/>
  <c r="J143" i="6"/>
  <c r="J131" i="6" s="1"/>
  <c r="L230" i="6"/>
  <c r="P350" i="6"/>
  <c r="O353" i="6"/>
  <c r="L405" i="6"/>
  <c r="O405" i="6" s="1"/>
  <c r="K825" i="6"/>
  <c r="L231" i="5"/>
  <c r="M321" i="5"/>
  <c r="P321" i="5" s="1"/>
  <c r="M26" i="6"/>
  <c r="M16" i="6" s="1"/>
  <c r="P74" i="6"/>
  <c r="L231" i="6"/>
  <c r="K287" i="6"/>
  <c r="P348" i="6"/>
  <c r="M395" i="6"/>
  <c r="P395" i="6" s="1"/>
  <c r="L429" i="6"/>
  <c r="O429" i="6" s="1"/>
  <c r="O431" i="6"/>
  <c r="L555" i="6"/>
  <c r="O555" i="6" s="1"/>
  <c r="O557" i="6"/>
  <c r="L135" i="5"/>
  <c r="O135" i="5" s="1"/>
  <c r="K360" i="5"/>
  <c r="O49" i="6"/>
  <c r="M69" i="6"/>
  <c r="L138" i="6"/>
  <c r="O138" i="6" s="1"/>
  <c r="M151" i="6"/>
  <c r="M149" i="6" s="1"/>
  <c r="L229" i="6"/>
  <c r="O320" i="6"/>
  <c r="L330" i="6"/>
  <c r="N391" i="6"/>
  <c r="N389" i="6" s="1"/>
  <c r="O449" i="6"/>
  <c r="K594" i="6"/>
  <c r="K647" i="6"/>
  <c r="K651" i="6"/>
  <c r="J721" i="6"/>
  <c r="K721" i="6" s="1"/>
  <c r="K365" i="6"/>
  <c r="N395" i="6"/>
  <c r="M405" i="6"/>
  <c r="P405" i="6" s="1"/>
  <c r="O791" i="6"/>
  <c r="L347" i="6"/>
  <c r="K359" i="6"/>
  <c r="K720" i="6"/>
  <c r="K821" i="6"/>
  <c r="K824" i="6"/>
  <c r="K725" i="6"/>
  <c r="O299" i="6"/>
  <c r="O61" i="5"/>
  <c r="M135" i="5"/>
  <c r="P135" i="5" s="1"/>
  <c r="N300" i="5"/>
  <c r="N298" i="5" s="1"/>
  <c r="N301" i="5"/>
  <c r="P301" i="5" s="1"/>
  <c r="M334" i="5"/>
  <c r="P334" i="5" s="1"/>
  <c r="L632" i="5"/>
  <c r="O632" i="5" s="1"/>
  <c r="O504" i="6"/>
  <c r="L502" i="6"/>
  <c r="O502" i="6" s="1"/>
  <c r="K729" i="3"/>
  <c r="L167" i="5"/>
  <c r="O167" i="5" s="1"/>
  <c r="N183" i="5"/>
  <c r="N181" i="5" s="1"/>
  <c r="O186" i="5"/>
  <c r="M267" i="5"/>
  <c r="P267" i="5" s="1"/>
  <c r="L317" i="5"/>
  <c r="L315" i="5" s="1"/>
  <c r="N392" i="5"/>
  <c r="N391" i="5"/>
  <c r="N389" i="5" s="1"/>
  <c r="M421" i="5"/>
  <c r="P421" i="5" s="1"/>
  <c r="I592" i="5"/>
  <c r="K592" i="5" s="1"/>
  <c r="K593" i="5"/>
  <c r="N138" i="6"/>
  <c r="N26" i="6"/>
  <c r="N24" i="6" s="1"/>
  <c r="K176" i="6"/>
  <c r="I174" i="6"/>
  <c r="I174" i="4"/>
  <c r="K174" i="4" s="1"/>
  <c r="O154" i="5"/>
  <c r="P150" i="6"/>
  <c r="N151" i="6"/>
  <c r="N155" i="6"/>
  <c r="N283" i="6"/>
  <c r="N279" i="6"/>
  <c r="N277" i="6" s="1"/>
  <c r="O316" i="6"/>
  <c r="I197" i="5"/>
  <c r="K197" i="5" s="1"/>
  <c r="O22" i="6"/>
  <c r="L12" i="6"/>
  <c r="L19" i="6"/>
  <c r="O154" i="4"/>
  <c r="M155" i="5"/>
  <c r="P155" i="5" s="1"/>
  <c r="K215" i="5"/>
  <c r="M300" i="5"/>
  <c r="L555" i="5"/>
  <c r="O555" i="5" s="1"/>
  <c r="L94" i="6"/>
  <c r="O94" i="6" s="1"/>
  <c r="L90" i="6"/>
  <c r="O96" i="6"/>
  <c r="N405" i="5"/>
  <c r="N404" i="5"/>
  <c r="N402" i="5" s="1"/>
  <c r="P25" i="6"/>
  <c r="M15" i="6"/>
  <c r="M19" i="6"/>
  <c r="O29" i="6"/>
  <c r="L43" i="6"/>
  <c r="L23" i="6"/>
  <c r="O46" i="6"/>
  <c r="L44" i="6"/>
  <c r="O44" i="6" s="1"/>
  <c r="L23" i="5"/>
  <c r="L21" i="5" s="1"/>
  <c r="N135" i="5"/>
  <c r="N134" i="5"/>
  <c r="N132" i="5" s="1"/>
  <c r="M634" i="5"/>
  <c r="M632" i="5" s="1"/>
  <c r="P632" i="5" s="1"/>
  <c r="O67" i="6"/>
  <c r="O89" i="6"/>
  <c r="M167" i="6"/>
  <c r="M23" i="6"/>
  <c r="M21" i="6" s="1"/>
  <c r="P170" i="6"/>
  <c r="M168" i="6"/>
  <c r="I216" i="6"/>
  <c r="K216" i="6" s="1"/>
  <c r="K224" i="6"/>
  <c r="M134" i="5"/>
  <c r="P134" i="5" s="1"/>
  <c r="O320" i="5"/>
  <c r="O424" i="5"/>
  <c r="I434" i="5"/>
  <c r="I418" i="5" s="1"/>
  <c r="K418" i="5" s="1"/>
  <c r="K821" i="5"/>
  <c r="N23" i="6"/>
  <c r="N90" i="6"/>
  <c r="N88" i="6" s="1"/>
  <c r="N91" i="6"/>
  <c r="O91" i="6" s="1"/>
  <c r="O93" i="6"/>
  <c r="I130" i="6"/>
  <c r="K130" i="6" s="1"/>
  <c r="K146" i="6"/>
  <c r="K374" i="5"/>
  <c r="K828" i="5"/>
  <c r="M43" i="6"/>
  <c r="M44" i="6"/>
  <c r="P44" i="6" s="1"/>
  <c r="O58" i="6"/>
  <c r="I87" i="6"/>
  <c r="K87" i="6" s="1"/>
  <c r="M91" i="6"/>
  <c r="M138" i="6"/>
  <c r="P138" i="6" s="1"/>
  <c r="M155" i="6"/>
  <c r="P155" i="6" s="1"/>
  <c r="O189" i="6"/>
  <c r="P299" i="6"/>
  <c r="P316" i="6"/>
  <c r="O329" i="6"/>
  <c r="K372" i="6"/>
  <c r="P410" i="6"/>
  <c r="M408" i="6"/>
  <c r="P408" i="6" s="1"/>
  <c r="M404" i="6"/>
  <c r="N632" i="6"/>
  <c r="N631" i="6"/>
  <c r="N629" i="6" s="1"/>
  <c r="L737" i="6"/>
  <c r="O737" i="6" s="1"/>
  <c r="O739" i="6"/>
  <c r="L15" i="6"/>
  <c r="O71" i="6"/>
  <c r="I76" i="6"/>
  <c r="P93" i="6"/>
  <c r="I143" i="6"/>
  <c r="K148" i="6"/>
  <c r="O182" i="6"/>
  <c r="I190" i="6"/>
  <c r="K190" i="6" s="1"/>
  <c r="N404" i="6"/>
  <c r="N402" i="6" s="1"/>
  <c r="N405" i="6"/>
  <c r="L546" i="6"/>
  <c r="O549" i="6"/>
  <c r="M549" i="6"/>
  <c r="L547" i="6"/>
  <c r="O547" i="6" s="1"/>
  <c r="O42" i="6"/>
  <c r="N55" i="6"/>
  <c r="N56" i="6"/>
  <c r="O56" i="6" s="1"/>
  <c r="M331" i="6"/>
  <c r="M330" i="6"/>
  <c r="N414" i="6"/>
  <c r="M317" i="5"/>
  <c r="M315" i="5" s="1"/>
  <c r="L330" i="5"/>
  <c r="L328" i="5" s="1"/>
  <c r="K372" i="5"/>
  <c r="K649" i="5"/>
  <c r="K822" i="5"/>
  <c r="L26" i="6"/>
  <c r="P46" i="6"/>
  <c r="P54" i="6"/>
  <c r="M56" i="6"/>
  <c r="L72" i="6"/>
  <c r="O72" i="6" s="1"/>
  <c r="L151" i="6"/>
  <c r="L152" i="6"/>
  <c r="O152" i="6" s="1"/>
  <c r="O173" i="6"/>
  <c r="L183" i="6"/>
  <c r="L238" i="6"/>
  <c r="I248" i="6"/>
  <c r="N267" i="6"/>
  <c r="I297" i="6"/>
  <c r="K297" i="6" s="1"/>
  <c r="M304" i="6"/>
  <c r="P304" i="6" s="1"/>
  <c r="P306" i="6"/>
  <c r="P320" i="6"/>
  <c r="M318" i="6"/>
  <c r="P318" i="6" s="1"/>
  <c r="P336" i="6"/>
  <c r="M334" i="6"/>
  <c r="P334" i="6" s="1"/>
  <c r="P353" i="6"/>
  <c r="M351" i="6"/>
  <c r="P351" i="6" s="1"/>
  <c r="K675" i="6"/>
  <c r="K669" i="6"/>
  <c r="K674" i="6"/>
  <c r="I654" i="6"/>
  <c r="K654" i="6" s="1"/>
  <c r="K673" i="6"/>
  <c r="K672" i="6"/>
  <c r="P278" i="6"/>
  <c r="K98" i="6"/>
  <c r="L249" i="6"/>
  <c r="O249" i="6" s="1"/>
  <c r="O282" i="6"/>
  <c r="L280" i="6"/>
  <c r="O280" i="6" s="1"/>
  <c r="M301" i="6"/>
  <c r="P301" i="6" s="1"/>
  <c r="P333" i="6"/>
  <c r="M29" i="6"/>
  <c r="L121" i="6"/>
  <c r="L122" i="6"/>
  <c r="O122" i="6" s="1"/>
  <c r="M135" i="6"/>
  <c r="P135" i="6" s="1"/>
  <c r="O150" i="6"/>
  <c r="M184" i="6"/>
  <c r="O186" i="6"/>
  <c r="L198" i="6"/>
  <c r="O198" i="6" s="1"/>
  <c r="M279" i="6"/>
  <c r="P279" i="6" s="1"/>
  <c r="P282" i="6"/>
  <c r="O348" i="6"/>
  <c r="O403" i="6"/>
  <c r="I314" i="6"/>
  <c r="K314" i="6" s="1"/>
  <c r="J327" i="6"/>
  <c r="K327" i="6" s="1"/>
  <c r="P394" i="6"/>
  <c r="M392" i="6"/>
  <c r="P392" i="6" s="1"/>
  <c r="J433" i="6"/>
  <c r="J417" i="6" s="1"/>
  <c r="L447" i="6"/>
  <c r="O447" i="6" s="1"/>
  <c r="O468" i="6"/>
  <c r="L470" i="6"/>
  <c r="O470" i="6" s="1"/>
  <c r="O472" i="6"/>
  <c r="M688" i="6"/>
  <c r="P688" i="6" s="1"/>
  <c r="K826" i="6"/>
  <c r="P266" i="6"/>
  <c r="M264" i="6"/>
  <c r="P264" i="6" s="1"/>
  <c r="M347" i="6"/>
  <c r="P445" i="6"/>
  <c r="M444" i="6"/>
  <c r="P444" i="6" s="1"/>
  <c r="O685" i="6"/>
  <c r="P687" i="6"/>
  <c r="N756" i="6"/>
  <c r="N754" i="6" s="1"/>
  <c r="N757" i="6"/>
  <c r="M805" i="6"/>
  <c r="P805" i="6" s="1"/>
  <c r="P807" i="6"/>
  <c r="O390" i="6"/>
  <c r="O262" i="6"/>
  <c r="L264" i="6"/>
  <c r="O264" i="6" s="1"/>
  <c r="O266" i="6"/>
  <c r="O285" i="6"/>
  <c r="J355" i="6"/>
  <c r="K355" i="6" s="1"/>
  <c r="K362" i="6"/>
  <c r="O420" i="6"/>
  <c r="K438" i="6"/>
  <c r="I434" i="6"/>
  <c r="K649" i="6"/>
  <c r="O787" i="6"/>
  <c r="P503" i="6"/>
  <c r="M502" i="6"/>
  <c r="P502" i="6" s="1"/>
  <c r="P524" i="6"/>
  <c r="M523" i="6"/>
  <c r="P523" i="6" s="1"/>
  <c r="K559" i="6"/>
  <c r="I543" i="6"/>
  <c r="K543" i="6" s="1"/>
  <c r="K537" i="6"/>
  <c r="I522" i="6"/>
  <c r="K522" i="6" s="1"/>
  <c r="P545" i="6"/>
  <c r="K576" i="6"/>
  <c r="P630" i="6"/>
  <c r="O351" i="6"/>
  <c r="K462" i="6"/>
  <c r="M472" i="6"/>
  <c r="J537" i="6"/>
  <c r="J522" i="6" s="1"/>
  <c r="L631" i="6"/>
  <c r="O634" i="6"/>
  <c r="M634" i="6"/>
  <c r="L632" i="6"/>
  <c r="O632" i="6" s="1"/>
  <c r="L655" i="6"/>
  <c r="O655" i="6" s="1"/>
  <c r="O657" i="6"/>
  <c r="P755" i="6"/>
  <c r="M754" i="6"/>
  <c r="P754" i="6" s="1"/>
  <c r="L770" i="6"/>
  <c r="O770" i="6" s="1"/>
  <c r="O772" i="6"/>
  <c r="J592" i="6"/>
  <c r="K592" i="6" s="1"/>
  <c r="I628" i="6"/>
  <c r="K628" i="6" s="1"/>
  <c r="M685" i="6"/>
  <c r="P685" i="6" s="1"/>
  <c r="N688" i="6"/>
  <c r="P788" i="6"/>
  <c r="L754" i="6"/>
  <c r="O754" i="6" s="1"/>
  <c r="L658" i="6"/>
  <c r="O658" i="6" s="1"/>
  <c r="M660" i="6"/>
  <c r="O660" i="6"/>
  <c r="L805" i="6"/>
  <c r="O805" i="6" s="1"/>
  <c r="P140" i="4"/>
  <c r="K462" i="4"/>
  <c r="I628" i="4"/>
  <c r="K628" i="4" s="1"/>
  <c r="K825" i="4"/>
  <c r="M72" i="5"/>
  <c r="P72" i="5" s="1"/>
  <c r="L90" i="5"/>
  <c r="L88" i="5" s="1"/>
  <c r="K146" i="5"/>
  <c r="O336" i="5"/>
  <c r="K647" i="5"/>
  <c r="O280" i="4"/>
  <c r="N55" i="5"/>
  <c r="N53" i="5" s="1"/>
  <c r="I148" i="5"/>
  <c r="K148" i="5" s="1"/>
  <c r="N318" i="5"/>
  <c r="O318" i="5" s="1"/>
  <c r="I443" i="5"/>
  <c r="K443" i="5" s="1"/>
  <c r="K827" i="5"/>
  <c r="L631" i="2"/>
  <c r="O631" i="2" s="1"/>
  <c r="L90" i="4"/>
  <c r="L88" i="4" s="1"/>
  <c r="O93" i="4"/>
  <c r="O306" i="5"/>
  <c r="L33" i="5"/>
  <c r="O33" i="5" s="1"/>
  <c r="M55" i="5"/>
  <c r="L94" i="5"/>
  <c r="O94" i="5" s="1"/>
  <c r="L151" i="5"/>
  <c r="O151" i="5" s="1"/>
  <c r="P186" i="5"/>
  <c r="P303" i="5"/>
  <c r="J365" i="5"/>
  <c r="J364" i="5" s="1"/>
  <c r="O410" i="5"/>
  <c r="P422" i="5"/>
  <c r="L546" i="5"/>
  <c r="L544" i="5" s="1"/>
  <c r="O544" i="5" s="1"/>
  <c r="K594" i="5"/>
  <c r="L658" i="5"/>
  <c r="O658" i="5" s="1"/>
  <c r="P282" i="5"/>
  <c r="L331" i="5"/>
  <c r="O331" i="5" s="1"/>
  <c r="K378" i="5"/>
  <c r="L404" i="5"/>
  <c r="O404" i="5" s="1"/>
  <c r="O407" i="5"/>
  <c r="L469" i="5"/>
  <c r="L467" i="5" s="1"/>
  <c r="O467" i="5" s="1"/>
  <c r="K146" i="4"/>
  <c r="K99" i="5"/>
  <c r="J143" i="5"/>
  <c r="J131" i="5" s="1"/>
  <c r="M280" i="5"/>
  <c r="P280" i="5" s="1"/>
  <c r="P336" i="5"/>
  <c r="M347" i="5"/>
  <c r="M345" i="5" s="1"/>
  <c r="K362" i="5"/>
  <c r="K369" i="5"/>
  <c r="K379" i="5"/>
  <c r="K359" i="3"/>
  <c r="P74" i="4"/>
  <c r="K370" i="4"/>
  <c r="I434" i="4"/>
  <c r="K434" i="4" s="1"/>
  <c r="L122" i="5"/>
  <c r="O122" i="5" s="1"/>
  <c r="O124" i="5"/>
  <c r="L125" i="5"/>
  <c r="O125" i="5" s="1"/>
  <c r="O127" i="5"/>
  <c r="M283" i="5"/>
  <c r="P283" i="5" s="1"/>
  <c r="K823" i="5"/>
  <c r="N68" i="5"/>
  <c r="N66" i="5" s="1"/>
  <c r="M395" i="5"/>
  <c r="P395" i="5" s="1"/>
  <c r="P397" i="5"/>
  <c r="M391" i="5"/>
  <c r="P391" i="5" s="1"/>
  <c r="P266" i="3"/>
  <c r="N68" i="4"/>
  <c r="N66" i="4" s="1"/>
  <c r="N94" i="4"/>
  <c r="P264" i="4"/>
  <c r="M330" i="4"/>
  <c r="M328" i="4" s="1"/>
  <c r="L788" i="4"/>
  <c r="O788" i="4" s="1"/>
  <c r="L55" i="5"/>
  <c r="L53" i="5" s="1"/>
  <c r="N167" i="5"/>
  <c r="N165" i="5" s="1"/>
  <c r="I276" i="5"/>
  <c r="K276" i="5" s="1"/>
  <c r="K435" i="5"/>
  <c r="P189" i="4"/>
  <c r="O791" i="4"/>
  <c r="K79" i="5"/>
  <c r="I77" i="5"/>
  <c r="I65" i="5" s="1"/>
  <c r="K65" i="5" s="1"/>
  <c r="L121" i="5"/>
  <c r="O121" i="5" s="1"/>
  <c r="O157" i="5"/>
  <c r="M167" i="5"/>
  <c r="M165" i="5" s="1"/>
  <c r="P165" i="5" s="1"/>
  <c r="M183" i="5"/>
  <c r="L209" i="5"/>
  <c r="O209" i="5" s="1"/>
  <c r="K224" i="5"/>
  <c r="I216" i="5"/>
  <c r="K216" i="5" s="1"/>
  <c r="L134" i="4"/>
  <c r="L132" i="4" s="1"/>
  <c r="O407" i="4"/>
  <c r="J721" i="4"/>
  <c r="K721" i="4" s="1"/>
  <c r="I785" i="4"/>
  <c r="K785" i="4" s="1"/>
  <c r="M26" i="5"/>
  <c r="M24" i="5" s="1"/>
  <c r="I76" i="5"/>
  <c r="K76" i="5" s="1"/>
  <c r="K80" i="5"/>
  <c r="O269" i="5"/>
  <c r="L267" i="5"/>
  <c r="O267" i="5" s="1"/>
  <c r="K325" i="5"/>
  <c r="I314" i="5"/>
  <c r="K314" i="5" s="1"/>
  <c r="K385" i="4"/>
  <c r="K443" i="4"/>
  <c r="O58" i="5"/>
  <c r="P93" i="5"/>
  <c r="M91" i="5"/>
  <c r="I112" i="5"/>
  <c r="K112" i="5" s="1"/>
  <c r="K115" i="5"/>
  <c r="L263" i="5"/>
  <c r="L264" i="5"/>
  <c r="O264" i="5" s="1"/>
  <c r="O266" i="5"/>
  <c r="L687" i="5"/>
  <c r="L685" i="5" s="1"/>
  <c r="O685" i="5" s="1"/>
  <c r="O690" i="5"/>
  <c r="L231" i="4"/>
  <c r="P49" i="5"/>
  <c r="L56" i="5"/>
  <c r="O56" i="5" s="1"/>
  <c r="L59" i="5"/>
  <c r="O59" i="5" s="1"/>
  <c r="M68" i="5"/>
  <c r="P68" i="5" s="1"/>
  <c r="N90" i="5"/>
  <c r="N91" i="5"/>
  <c r="P170" i="5"/>
  <c r="M168" i="5"/>
  <c r="P168" i="5" s="1"/>
  <c r="I174" i="5"/>
  <c r="K176" i="5"/>
  <c r="P184" i="5"/>
  <c r="N151" i="5"/>
  <c r="N149" i="5" s="1"/>
  <c r="L249" i="5"/>
  <c r="O249" i="5" s="1"/>
  <c r="L279" i="5"/>
  <c r="L277" i="5" s="1"/>
  <c r="N279" i="5"/>
  <c r="L321" i="5"/>
  <c r="O321" i="5" s="1"/>
  <c r="P410" i="5"/>
  <c r="L421" i="5"/>
  <c r="O421" i="5" s="1"/>
  <c r="L446" i="5"/>
  <c r="O446" i="5" s="1"/>
  <c r="M547" i="5"/>
  <c r="P547" i="5" s="1"/>
  <c r="O93" i="5"/>
  <c r="O170" i="5"/>
  <c r="O173" i="5"/>
  <c r="L238" i="5"/>
  <c r="O238" i="5" s="1"/>
  <c r="P264" i="5"/>
  <c r="N283" i="5"/>
  <c r="K340" i="5"/>
  <c r="K370" i="5"/>
  <c r="O191" i="5"/>
  <c r="L230" i="5"/>
  <c r="N263" i="5"/>
  <c r="N261" i="5" s="1"/>
  <c r="P350" i="5"/>
  <c r="L228" i="5"/>
  <c r="N347" i="5"/>
  <c r="K824" i="5"/>
  <c r="O280" i="5"/>
  <c r="P333" i="5"/>
  <c r="O350" i="5"/>
  <c r="K628" i="5"/>
  <c r="J722" i="5"/>
  <c r="P15" i="5"/>
  <c r="O140" i="5"/>
  <c r="L138" i="5"/>
  <c r="O138" i="5" s="1"/>
  <c r="O634" i="2"/>
  <c r="K381" i="3"/>
  <c r="M138" i="4"/>
  <c r="P138" i="4" s="1"/>
  <c r="O334" i="4"/>
  <c r="L631" i="4"/>
  <c r="L629" i="4" s="1"/>
  <c r="O629" i="4" s="1"/>
  <c r="L44" i="5"/>
  <c r="O46" i="5"/>
  <c r="O49" i="5"/>
  <c r="L47" i="5"/>
  <c r="O47" i="5" s="1"/>
  <c r="L26" i="5"/>
  <c r="L24" i="5" s="1"/>
  <c r="P96" i="5"/>
  <c r="M94" i="5"/>
  <c r="P94" i="5" s="1"/>
  <c r="L134" i="5"/>
  <c r="O390" i="5"/>
  <c r="L90" i="3"/>
  <c r="M68" i="4"/>
  <c r="P68" i="4" s="1"/>
  <c r="N134" i="4"/>
  <c r="P282" i="4"/>
  <c r="O397" i="4"/>
  <c r="O32" i="5"/>
  <c r="L29" i="5"/>
  <c r="L43" i="5"/>
  <c r="O182" i="5"/>
  <c r="J327" i="5"/>
  <c r="K327" i="5" s="1"/>
  <c r="K338" i="5"/>
  <c r="O61" i="4"/>
  <c r="O12" i="5"/>
  <c r="L9" i="5"/>
  <c r="M29" i="5"/>
  <c r="N43" i="5"/>
  <c r="N23" i="5"/>
  <c r="N44" i="5"/>
  <c r="P44" i="5" s="1"/>
  <c r="M56" i="5"/>
  <c r="P56" i="5" s="1"/>
  <c r="M23" i="5"/>
  <c r="M21" i="5" s="1"/>
  <c r="P58" i="5"/>
  <c r="P61" i="5"/>
  <c r="M59" i="5"/>
  <c r="P59" i="5" s="1"/>
  <c r="M121" i="5"/>
  <c r="P124" i="5"/>
  <c r="M122" i="5"/>
  <c r="P122" i="5" s="1"/>
  <c r="L300" i="5"/>
  <c r="L298" i="5" s="1"/>
  <c r="O303" i="5"/>
  <c r="L301" i="5"/>
  <c r="O397" i="5"/>
  <c r="L395" i="5"/>
  <c r="O395" i="5" s="1"/>
  <c r="P127" i="4"/>
  <c r="K708" i="4"/>
  <c r="K723" i="4"/>
  <c r="K822" i="4"/>
  <c r="P46" i="5"/>
  <c r="P67" i="5"/>
  <c r="O150" i="5"/>
  <c r="L392" i="3"/>
  <c r="O392" i="3" s="1"/>
  <c r="M19" i="5"/>
  <c r="P22" i="5"/>
  <c r="M12" i="5"/>
  <c r="P35" i="5"/>
  <c r="M34" i="5"/>
  <c r="P34" i="5" s="1"/>
  <c r="O71" i="5"/>
  <c r="L69" i="5"/>
  <c r="O69" i="5" s="1"/>
  <c r="L72" i="5"/>
  <c r="O72" i="5" s="1"/>
  <c r="O74" i="5"/>
  <c r="O89" i="5"/>
  <c r="I143" i="5"/>
  <c r="K145" i="5"/>
  <c r="P173" i="5"/>
  <c r="M171" i="5"/>
  <c r="P171" i="5" s="1"/>
  <c r="O166" i="5"/>
  <c r="O46" i="4"/>
  <c r="L228" i="4"/>
  <c r="O19" i="5"/>
  <c r="N15" i="5"/>
  <c r="L68" i="5"/>
  <c r="O68" i="5" s="1"/>
  <c r="L198" i="5"/>
  <c r="O198" i="5" s="1"/>
  <c r="P46" i="4"/>
  <c r="P137" i="4"/>
  <c r="P42" i="5"/>
  <c r="N26" i="5"/>
  <c r="N16" i="5" s="1"/>
  <c r="N72" i="5"/>
  <c r="O120" i="5"/>
  <c r="M151" i="5"/>
  <c r="P154" i="5"/>
  <c r="M152" i="5"/>
  <c r="P152" i="5" s="1"/>
  <c r="P189" i="5"/>
  <c r="M187" i="5"/>
  <c r="P187" i="5" s="1"/>
  <c r="K309" i="5"/>
  <c r="I297" i="5"/>
  <c r="K297" i="5" s="1"/>
  <c r="K236" i="5"/>
  <c r="O299" i="5"/>
  <c r="N330" i="5"/>
  <c r="K385" i="5"/>
  <c r="O394" i="5"/>
  <c r="N419" i="5"/>
  <c r="P424" i="5"/>
  <c r="O456" i="5"/>
  <c r="L454" i="5"/>
  <c r="O454" i="5" s="1"/>
  <c r="N504" i="5"/>
  <c r="N502" i="5" s="1"/>
  <c r="N505" i="5"/>
  <c r="L805" i="5"/>
  <c r="O805" i="5" s="1"/>
  <c r="O807" i="5"/>
  <c r="M263" i="5"/>
  <c r="M404" i="5"/>
  <c r="M405" i="5"/>
  <c r="P405" i="5" s="1"/>
  <c r="P545" i="5"/>
  <c r="M544" i="5"/>
  <c r="P544" i="5" s="1"/>
  <c r="O755" i="5"/>
  <c r="L754" i="5"/>
  <c r="O754" i="5" s="1"/>
  <c r="K255" i="5"/>
  <c r="I248" i="5"/>
  <c r="I233" i="5"/>
  <c r="K233" i="5" s="1"/>
  <c r="O420" i="5"/>
  <c r="O449" i="5"/>
  <c r="N447" i="5"/>
  <c r="M467" i="5"/>
  <c r="P467" i="5" s="1"/>
  <c r="P469" i="5"/>
  <c r="P524" i="5"/>
  <c r="P686" i="5"/>
  <c r="M685" i="5"/>
  <c r="P685" i="5" s="1"/>
  <c r="O35" i="5"/>
  <c r="M69" i="5"/>
  <c r="P69" i="5" s="1"/>
  <c r="L91" i="5"/>
  <c r="L168" i="5"/>
  <c r="O168" i="5" s="1"/>
  <c r="L184" i="5"/>
  <c r="O184" i="5" s="1"/>
  <c r="I190" i="5"/>
  <c r="K190" i="5" s="1"/>
  <c r="P266" i="5"/>
  <c r="J288" i="5"/>
  <c r="J275" i="5" s="1"/>
  <c r="K275" i="5" s="1"/>
  <c r="N317" i="5"/>
  <c r="N315" i="5" s="1"/>
  <c r="M331" i="5"/>
  <c r="P331" i="5" s="1"/>
  <c r="O333" i="5"/>
  <c r="L391" i="5"/>
  <c r="O391" i="5" s="1"/>
  <c r="O403" i="5"/>
  <c r="I442" i="5"/>
  <c r="K442" i="5" s="1"/>
  <c r="K460" i="5"/>
  <c r="O472" i="5"/>
  <c r="N470" i="5"/>
  <c r="M528" i="5"/>
  <c r="L526" i="5"/>
  <c r="O526" i="5" s="1"/>
  <c r="O528" i="5"/>
  <c r="O282" i="5"/>
  <c r="P320" i="5"/>
  <c r="O334" i="5"/>
  <c r="O348" i="5"/>
  <c r="P353" i="5"/>
  <c r="K381" i="5"/>
  <c r="P407" i="5"/>
  <c r="O447" i="5"/>
  <c r="P472" i="5"/>
  <c r="N525" i="5"/>
  <c r="N523" i="5" s="1"/>
  <c r="O523" i="5" s="1"/>
  <c r="N526" i="5"/>
  <c r="P546" i="5"/>
  <c r="O353" i="5"/>
  <c r="N351" i="5"/>
  <c r="P351" i="5" s="1"/>
  <c r="O445" i="5"/>
  <c r="P503" i="5"/>
  <c r="M502" i="5"/>
  <c r="P502" i="5" s="1"/>
  <c r="O549" i="5"/>
  <c r="N547" i="5"/>
  <c r="L229" i="5"/>
  <c r="O285" i="5"/>
  <c r="P306" i="5"/>
  <c r="M318" i="5"/>
  <c r="I364" i="5"/>
  <c r="O431" i="5"/>
  <c r="L429" i="5"/>
  <c r="O429" i="5" s="1"/>
  <c r="M470" i="5"/>
  <c r="J537" i="5"/>
  <c r="I522" i="5"/>
  <c r="P549" i="5"/>
  <c r="N655" i="5"/>
  <c r="L631" i="5"/>
  <c r="K651" i="5"/>
  <c r="K672" i="5"/>
  <c r="L688" i="5"/>
  <c r="O688" i="5" s="1"/>
  <c r="P756" i="5"/>
  <c r="I785" i="5"/>
  <c r="K785" i="5" s="1"/>
  <c r="O788" i="5"/>
  <c r="K673" i="5"/>
  <c r="L639" i="5"/>
  <c r="O639" i="5" s="1"/>
  <c r="K674" i="5"/>
  <c r="L789" i="5"/>
  <c r="O789" i="5" s="1"/>
  <c r="L422" i="5"/>
  <c r="O422" i="5" s="1"/>
  <c r="J433" i="5"/>
  <c r="J417" i="5" s="1"/>
  <c r="K417" i="5" s="1"/>
  <c r="L477" i="5"/>
  <c r="O477" i="5" s="1"/>
  <c r="L533" i="5"/>
  <c r="O533" i="5" s="1"/>
  <c r="I559" i="5"/>
  <c r="I654" i="5"/>
  <c r="K654" i="5" s="1"/>
  <c r="K669" i="5"/>
  <c r="L470" i="5"/>
  <c r="L547" i="5"/>
  <c r="O547" i="5" s="1"/>
  <c r="M786" i="5"/>
  <c r="P786" i="5" s="1"/>
  <c r="I87" i="3"/>
  <c r="K87" i="3" s="1"/>
  <c r="M151" i="4"/>
  <c r="M149" i="4" s="1"/>
  <c r="K726" i="4"/>
  <c r="K821" i="4"/>
  <c r="N121" i="4"/>
  <c r="N119" i="4" s="1"/>
  <c r="L183" i="4"/>
  <c r="L181" i="4" s="1"/>
  <c r="K193" i="4"/>
  <c r="L209" i="4"/>
  <c r="O209" i="4" s="1"/>
  <c r="M263" i="1"/>
  <c r="M261" i="1" s="1"/>
  <c r="M121" i="4"/>
  <c r="P121" i="4" s="1"/>
  <c r="K362" i="4"/>
  <c r="K369" i="4"/>
  <c r="O410" i="4"/>
  <c r="K826" i="4"/>
  <c r="P152" i="4"/>
  <c r="L36" i="4"/>
  <c r="O36" i="4" s="1"/>
  <c r="M69" i="4"/>
  <c r="P69" i="4" s="1"/>
  <c r="L187" i="4"/>
  <c r="O187" i="4" s="1"/>
  <c r="I233" i="4"/>
  <c r="K233" i="4" s="1"/>
  <c r="K359" i="4"/>
  <c r="L404" i="4"/>
  <c r="O404" i="4" s="1"/>
  <c r="P407" i="4"/>
  <c r="O641" i="4"/>
  <c r="K823" i="4"/>
  <c r="P49" i="4"/>
  <c r="N69" i="4"/>
  <c r="L171" i="4"/>
  <c r="O171" i="4" s="1"/>
  <c r="L267" i="4"/>
  <c r="O267" i="4" s="1"/>
  <c r="O303" i="4"/>
  <c r="K374" i="4"/>
  <c r="M151" i="3"/>
  <c r="M149" i="3" s="1"/>
  <c r="O137" i="4"/>
  <c r="I143" i="4"/>
  <c r="I131" i="4" s="1"/>
  <c r="L184" i="4"/>
  <c r="K224" i="4"/>
  <c r="J288" i="4"/>
  <c r="J275" i="4" s="1"/>
  <c r="K275" i="4" s="1"/>
  <c r="K673" i="4"/>
  <c r="K725" i="4"/>
  <c r="K828" i="4"/>
  <c r="O58" i="3"/>
  <c r="O58" i="4"/>
  <c r="I559" i="4"/>
  <c r="K559" i="4" s="1"/>
  <c r="K576" i="4"/>
  <c r="N264" i="3"/>
  <c r="K338" i="3"/>
  <c r="K537" i="3"/>
  <c r="M55" i="4"/>
  <c r="M53" i="4" s="1"/>
  <c r="I77" i="4"/>
  <c r="O91" i="4"/>
  <c r="M94" i="4"/>
  <c r="P94" i="4" s="1"/>
  <c r="P124" i="4"/>
  <c r="L135" i="4"/>
  <c r="O135" i="4" s="1"/>
  <c r="O140" i="4"/>
  <c r="P306" i="4"/>
  <c r="N330" i="4"/>
  <c r="N328" i="4" s="1"/>
  <c r="P334" i="4"/>
  <c r="K340" i="4"/>
  <c r="K378" i="4"/>
  <c r="K460" i="4"/>
  <c r="P59" i="4"/>
  <c r="M321" i="4"/>
  <c r="P321" i="4" s="1"/>
  <c r="P323" i="4"/>
  <c r="L477" i="4"/>
  <c r="O477" i="4" s="1"/>
  <c r="O479" i="4"/>
  <c r="O154" i="3"/>
  <c r="N317" i="3"/>
  <c r="N315" i="3" s="1"/>
  <c r="L26" i="4"/>
  <c r="L24" i="4" s="1"/>
  <c r="K271" i="4"/>
  <c r="N279" i="4"/>
  <c r="N277" i="4" s="1"/>
  <c r="O282" i="4"/>
  <c r="K309" i="4"/>
  <c r="O350" i="4"/>
  <c r="L348" i="4"/>
  <c r="O348" i="4" s="1"/>
  <c r="N351" i="4"/>
  <c r="O351" i="4" s="1"/>
  <c r="N347" i="4"/>
  <c r="N345" i="4" s="1"/>
  <c r="N90" i="3"/>
  <c r="N88" i="3" s="1"/>
  <c r="P96" i="3"/>
  <c r="K365" i="3"/>
  <c r="M395" i="3"/>
  <c r="P395" i="3" s="1"/>
  <c r="L55" i="4"/>
  <c r="L53" i="4" s="1"/>
  <c r="L59" i="4"/>
  <c r="O59" i="4" s="1"/>
  <c r="I112" i="4"/>
  <c r="K112" i="4" s="1"/>
  <c r="P157" i="4"/>
  <c r="L217" i="4"/>
  <c r="O217" i="4" s="1"/>
  <c r="L229" i="4"/>
  <c r="M267" i="4"/>
  <c r="P267" i="4" s="1"/>
  <c r="O285" i="4"/>
  <c r="M347" i="4"/>
  <c r="P397" i="4"/>
  <c r="M395" i="4"/>
  <c r="P395" i="4" s="1"/>
  <c r="M690" i="4"/>
  <c r="M687" i="4" s="1"/>
  <c r="M685" i="4" s="1"/>
  <c r="L688" i="4"/>
  <c r="O688" i="4" s="1"/>
  <c r="K824" i="4"/>
  <c r="N121" i="3"/>
  <c r="N119" i="3" s="1"/>
  <c r="L187" i="3"/>
  <c r="O187" i="3" s="1"/>
  <c r="N26" i="4"/>
  <c r="P61" i="4"/>
  <c r="L152" i="4"/>
  <c r="O152" i="4" s="1"/>
  <c r="P154" i="4"/>
  <c r="L198" i="4"/>
  <c r="O198" i="4" s="1"/>
  <c r="L230" i="4"/>
  <c r="M283" i="4"/>
  <c r="P283" i="4" s="1"/>
  <c r="L321" i="4"/>
  <c r="O321" i="4" s="1"/>
  <c r="L391" i="4"/>
  <c r="O391" i="4" s="1"/>
  <c r="L392" i="4"/>
  <c r="O392" i="4" s="1"/>
  <c r="O394" i="4"/>
  <c r="O634" i="4"/>
  <c r="O660" i="4"/>
  <c r="L658" i="4"/>
  <c r="O658" i="4" s="1"/>
  <c r="M660" i="4"/>
  <c r="M68" i="2"/>
  <c r="P68" i="2" s="1"/>
  <c r="N318" i="3"/>
  <c r="K826" i="3"/>
  <c r="O49" i="4"/>
  <c r="O74" i="4"/>
  <c r="M90" i="4"/>
  <c r="M155" i="4"/>
  <c r="P155" i="4" s="1"/>
  <c r="P170" i="4"/>
  <c r="P186" i="4"/>
  <c r="K592" i="4"/>
  <c r="I112" i="3"/>
  <c r="K112" i="3" s="1"/>
  <c r="I275" i="3"/>
  <c r="K275" i="3" s="1"/>
  <c r="M26" i="4"/>
  <c r="L43" i="4"/>
  <c r="L41" i="4" s="1"/>
  <c r="L72" i="4"/>
  <c r="O72" i="4" s="1"/>
  <c r="N23" i="4"/>
  <c r="K216" i="4"/>
  <c r="N392" i="4"/>
  <c r="N391" i="4"/>
  <c r="N389" i="4" s="1"/>
  <c r="K728" i="4"/>
  <c r="I654" i="4"/>
  <c r="K654" i="4" s="1"/>
  <c r="K720" i="4"/>
  <c r="K379" i="4"/>
  <c r="L546" i="4"/>
  <c r="O546" i="4" s="1"/>
  <c r="J722" i="4"/>
  <c r="K722" i="4" s="1"/>
  <c r="K729" i="4"/>
  <c r="O431" i="4"/>
  <c r="K438" i="4"/>
  <c r="L454" i="4"/>
  <c r="O454" i="4" s="1"/>
  <c r="O557" i="4"/>
  <c r="K593" i="4"/>
  <c r="L685" i="4"/>
  <c r="O549" i="4"/>
  <c r="O333" i="4"/>
  <c r="K360" i="4"/>
  <c r="K381" i="4"/>
  <c r="L555" i="4"/>
  <c r="O555" i="4" s="1"/>
  <c r="K827" i="4"/>
  <c r="O472" i="3"/>
  <c r="L470" i="3"/>
  <c r="O470" i="3" s="1"/>
  <c r="L469" i="3"/>
  <c r="O469" i="3" s="1"/>
  <c r="O138" i="4"/>
  <c r="L477" i="3"/>
  <c r="O477" i="3" s="1"/>
  <c r="O479" i="3"/>
  <c r="O424" i="3"/>
  <c r="L422" i="3"/>
  <c r="O422" i="3" s="1"/>
  <c r="L421" i="3"/>
  <c r="O421" i="3" s="1"/>
  <c r="M424" i="3"/>
  <c r="M422" i="3" s="1"/>
  <c r="P422" i="3" s="1"/>
  <c r="O19" i="4"/>
  <c r="P19" i="4"/>
  <c r="O410" i="3"/>
  <c r="L408" i="3"/>
  <c r="O408" i="3" s="1"/>
  <c r="I417" i="4"/>
  <c r="P166" i="4"/>
  <c r="L263" i="4"/>
  <c r="L264" i="4"/>
  <c r="O264" i="4" s="1"/>
  <c r="J365" i="4"/>
  <c r="J364" i="4" s="1"/>
  <c r="K372" i="4"/>
  <c r="L421" i="4"/>
  <c r="O421" i="4" s="1"/>
  <c r="L422" i="4"/>
  <c r="O422" i="4" s="1"/>
  <c r="O424" i="4"/>
  <c r="M424" i="4"/>
  <c r="O524" i="4"/>
  <c r="M267" i="1"/>
  <c r="P267" i="1" s="1"/>
  <c r="L546" i="1"/>
  <c r="L544" i="1" s="1"/>
  <c r="J364" i="2"/>
  <c r="M135" i="3"/>
  <c r="P135" i="3" s="1"/>
  <c r="I628" i="3"/>
  <c r="K628" i="3" s="1"/>
  <c r="L639" i="3"/>
  <c r="O639" i="3" s="1"/>
  <c r="K800" i="3"/>
  <c r="M12" i="4"/>
  <c r="L23" i="4"/>
  <c r="L21" i="4" s="1"/>
  <c r="P25" i="4"/>
  <c r="M15" i="4"/>
  <c r="N43" i="4"/>
  <c r="N41" i="4" s="1"/>
  <c r="L151" i="4"/>
  <c r="K159" i="4"/>
  <c r="I148" i="4"/>
  <c r="K148" i="4" s="1"/>
  <c r="P173" i="4"/>
  <c r="M183" i="4"/>
  <c r="O186" i="4"/>
  <c r="M263" i="4"/>
  <c r="M261" i="4" s="1"/>
  <c r="P301" i="4"/>
  <c r="L330" i="4"/>
  <c r="O336" i="4"/>
  <c r="L317" i="2"/>
  <c r="L315" i="2" s="1"/>
  <c r="L429" i="2"/>
  <c r="O429" i="2" s="1"/>
  <c r="L59" i="3"/>
  <c r="O59" i="3" s="1"/>
  <c r="L122" i="3"/>
  <c r="O122" i="3" s="1"/>
  <c r="L121" i="3"/>
  <c r="L119" i="3" s="1"/>
  <c r="O119" i="3" s="1"/>
  <c r="L231" i="3"/>
  <c r="J721" i="3"/>
  <c r="K721" i="3" s="1"/>
  <c r="K827" i="3"/>
  <c r="N12" i="4"/>
  <c r="O32" i="4"/>
  <c r="M43" i="4"/>
  <c r="M41" i="4" s="1"/>
  <c r="M23" i="4"/>
  <c r="M21" i="4" s="1"/>
  <c r="M44" i="4"/>
  <c r="P44" i="4" s="1"/>
  <c r="I87" i="4"/>
  <c r="K87" i="4" s="1"/>
  <c r="M91" i="4"/>
  <c r="P91" i="4" s="1"/>
  <c r="L122" i="4"/>
  <c r="O122" i="4" s="1"/>
  <c r="N263" i="4"/>
  <c r="N261" i="4" s="1"/>
  <c r="M279" i="4"/>
  <c r="M280" i="4"/>
  <c r="P280" i="4" s="1"/>
  <c r="O329" i="4"/>
  <c r="M391" i="4"/>
  <c r="P394" i="4"/>
  <c r="M392" i="4"/>
  <c r="P392" i="4" s="1"/>
  <c r="P420" i="4"/>
  <c r="O503" i="4"/>
  <c r="L502" i="4"/>
  <c r="O502" i="4" s="1"/>
  <c r="O535" i="4"/>
  <c r="L533" i="4"/>
  <c r="O533" i="4" s="1"/>
  <c r="N687" i="4"/>
  <c r="N688" i="4"/>
  <c r="O690" i="4"/>
  <c r="L69" i="2"/>
  <c r="O69" i="2" s="1"/>
  <c r="M263" i="2"/>
  <c r="M261" i="2" s="1"/>
  <c r="I233" i="3"/>
  <c r="K233" i="3" s="1"/>
  <c r="P348" i="3"/>
  <c r="O25" i="4"/>
  <c r="O71" i="4"/>
  <c r="I76" i="4"/>
  <c r="P93" i="4"/>
  <c r="M134" i="4"/>
  <c r="M135" i="4"/>
  <c r="P135" i="4" s="1"/>
  <c r="N151" i="4"/>
  <c r="L167" i="4"/>
  <c r="N183" i="4"/>
  <c r="N184" i="4"/>
  <c r="O266" i="4"/>
  <c r="L317" i="4"/>
  <c r="O320" i="4"/>
  <c r="L318" i="4"/>
  <c r="O318" i="4" s="1"/>
  <c r="N525" i="4"/>
  <c r="N526" i="4"/>
  <c r="M546" i="4"/>
  <c r="K374" i="2"/>
  <c r="N391" i="2"/>
  <c r="N389" i="2" s="1"/>
  <c r="L404" i="2"/>
  <c r="O404" i="2" s="1"/>
  <c r="K729" i="2"/>
  <c r="M90" i="3"/>
  <c r="M88" i="3" s="1"/>
  <c r="P269" i="3"/>
  <c r="L279" i="3"/>
  <c r="O279" i="3" s="1"/>
  <c r="P333" i="3"/>
  <c r="K370" i="3"/>
  <c r="L33" i="4"/>
  <c r="O42" i="4"/>
  <c r="L44" i="4"/>
  <c r="O44" i="4" s="1"/>
  <c r="L56" i="4"/>
  <c r="N55" i="4"/>
  <c r="N53" i="4" s="1"/>
  <c r="N56" i="4"/>
  <c r="P56" i="4" s="1"/>
  <c r="K78" i="4"/>
  <c r="O96" i="4"/>
  <c r="P120" i="4"/>
  <c r="L125" i="4"/>
  <c r="O125" i="4" s="1"/>
  <c r="K144" i="4"/>
  <c r="J143" i="4"/>
  <c r="M167" i="4"/>
  <c r="M165" i="4" s="1"/>
  <c r="O170" i="4"/>
  <c r="M184" i="4"/>
  <c r="I208" i="4"/>
  <c r="K208" i="4" s="1"/>
  <c r="L249" i="4"/>
  <c r="O249" i="4" s="1"/>
  <c r="O306" i="4"/>
  <c r="L304" i="4"/>
  <c r="O304" i="4" s="1"/>
  <c r="L347" i="4"/>
  <c r="L345" i="4" s="1"/>
  <c r="O353" i="4"/>
  <c r="N502" i="4"/>
  <c r="I522" i="4"/>
  <c r="K522" i="4" s="1"/>
  <c r="K537" i="4"/>
  <c r="M547" i="4"/>
  <c r="O22" i="4"/>
  <c r="L12" i="4"/>
  <c r="N28" i="4"/>
  <c r="P54" i="4"/>
  <c r="O133" i="4"/>
  <c r="P182" i="4"/>
  <c r="K225" i="4"/>
  <c r="O301" i="4"/>
  <c r="O346" i="4"/>
  <c r="L446" i="4"/>
  <c r="O449" i="4"/>
  <c r="M449" i="4"/>
  <c r="M55" i="3"/>
  <c r="M53" i="3" s="1"/>
  <c r="L68" i="4"/>
  <c r="L121" i="4"/>
  <c r="N167" i="4"/>
  <c r="N165" i="4" s="1"/>
  <c r="N168" i="4"/>
  <c r="O168" i="4" s="1"/>
  <c r="I276" i="4"/>
  <c r="K276" i="4" s="1"/>
  <c r="K287" i="4"/>
  <c r="P410" i="4"/>
  <c r="M408" i="4"/>
  <c r="P408" i="4" s="1"/>
  <c r="M404" i="4"/>
  <c r="N446" i="4"/>
  <c r="N444" i="4" s="1"/>
  <c r="N447" i="4"/>
  <c r="O447" i="4" s="1"/>
  <c r="K539" i="4"/>
  <c r="J537" i="4"/>
  <c r="J522" i="4" s="1"/>
  <c r="K360" i="2"/>
  <c r="I785" i="2"/>
  <c r="K785" i="2" s="1"/>
  <c r="K360" i="3"/>
  <c r="L631" i="3"/>
  <c r="O631" i="3" s="1"/>
  <c r="N47" i="4"/>
  <c r="P150" i="4"/>
  <c r="L155" i="4"/>
  <c r="O155" i="4" s="1"/>
  <c r="M168" i="4"/>
  <c r="K190" i="4"/>
  <c r="L300" i="4"/>
  <c r="N300" i="4"/>
  <c r="N298" i="4" s="1"/>
  <c r="P303" i="4"/>
  <c r="N317" i="4"/>
  <c r="N315" i="4" s="1"/>
  <c r="I314" i="4"/>
  <c r="K314" i="4" s="1"/>
  <c r="K325" i="4"/>
  <c r="N404" i="4"/>
  <c r="N402" i="4" s="1"/>
  <c r="N405" i="4"/>
  <c r="J433" i="4"/>
  <c r="J417" i="4" s="1"/>
  <c r="K435" i="4"/>
  <c r="L469" i="4"/>
  <c r="O469" i="4" s="1"/>
  <c r="L470" i="4"/>
  <c r="O470" i="4" s="1"/>
  <c r="O472" i="4"/>
  <c r="M472" i="4"/>
  <c r="L238" i="4"/>
  <c r="I248" i="4"/>
  <c r="K248" i="4" s="1"/>
  <c r="L279" i="4"/>
  <c r="M317" i="4"/>
  <c r="P317" i="4" s="1"/>
  <c r="M331" i="4"/>
  <c r="P331" i="4" s="1"/>
  <c r="P333" i="4"/>
  <c r="P336" i="4"/>
  <c r="M348" i="4"/>
  <c r="P348" i="4" s="1"/>
  <c r="P350" i="4"/>
  <c r="P353" i="4"/>
  <c r="N547" i="4"/>
  <c r="K675" i="4"/>
  <c r="K669" i="4"/>
  <c r="K674" i="4"/>
  <c r="O787" i="4"/>
  <c r="O656" i="4"/>
  <c r="L655" i="4"/>
  <c r="O655" i="4" s="1"/>
  <c r="M805" i="4"/>
  <c r="P805" i="4" s="1"/>
  <c r="P807" i="4"/>
  <c r="P755" i="4"/>
  <c r="M754" i="4"/>
  <c r="P754" i="4" s="1"/>
  <c r="L770" i="4"/>
  <c r="O770" i="4" s="1"/>
  <c r="O772" i="4"/>
  <c r="P266" i="4"/>
  <c r="K338" i="4"/>
  <c r="K355" i="4"/>
  <c r="I364" i="4"/>
  <c r="O390" i="4"/>
  <c r="N523" i="4"/>
  <c r="K594" i="4"/>
  <c r="M318" i="4"/>
  <c r="P318" i="4" s="1"/>
  <c r="J327" i="4"/>
  <c r="K327" i="4" s="1"/>
  <c r="O420" i="4"/>
  <c r="O468" i="4"/>
  <c r="P686" i="4"/>
  <c r="N756" i="4"/>
  <c r="N754" i="4" s="1"/>
  <c r="N757" i="4"/>
  <c r="M300" i="4"/>
  <c r="L525" i="4"/>
  <c r="O525" i="4" s="1"/>
  <c r="O528" i="4"/>
  <c r="P788" i="4"/>
  <c r="L754" i="4"/>
  <c r="O754" i="4" s="1"/>
  <c r="L547" i="4"/>
  <c r="O547" i="4" s="1"/>
  <c r="L90" i="2"/>
  <c r="L88" i="2" s="1"/>
  <c r="P96" i="2"/>
  <c r="K369" i="2"/>
  <c r="L56" i="3"/>
  <c r="O56" i="3" s="1"/>
  <c r="M68" i="3"/>
  <c r="P74" i="3"/>
  <c r="N168" i="3"/>
  <c r="O168" i="3" s="1"/>
  <c r="K176" i="3"/>
  <c r="L209" i="3"/>
  <c r="O209" i="3" s="1"/>
  <c r="N330" i="3"/>
  <c r="N328" i="3" s="1"/>
  <c r="O350" i="3"/>
  <c r="J364" i="3"/>
  <c r="K462" i="3"/>
  <c r="L525" i="3"/>
  <c r="O525" i="3" s="1"/>
  <c r="K699" i="3"/>
  <c r="K723" i="3"/>
  <c r="M72" i="2"/>
  <c r="P72" i="2" s="1"/>
  <c r="N183" i="2"/>
  <c r="N181" i="2" s="1"/>
  <c r="I314" i="2"/>
  <c r="K314" i="2" s="1"/>
  <c r="I148" i="3"/>
  <c r="K148" i="3" s="1"/>
  <c r="M279" i="3"/>
  <c r="P279" i="3" s="1"/>
  <c r="O285" i="3"/>
  <c r="K379" i="3"/>
  <c r="K385" i="3"/>
  <c r="I434" i="3"/>
  <c r="K434" i="3" s="1"/>
  <c r="I559" i="3"/>
  <c r="K559" i="3" s="1"/>
  <c r="K824" i="3"/>
  <c r="N43" i="2"/>
  <c r="N41" i="2" s="1"/>
  <c r="O71" i="3"/>
  <c r="L94" i="3"/>
  <c r="O94" i="3" s="1"/>
  <c r="L151" i="3"/>
  <c r="M69" i="2"/>
  <c r="P69" i="2" s="1"/>
  <c r="M395" i="2"/>
  <c r="P395" i="2" s="1"/>
  <c r="K115" i="3"/>
  <c r="K362" i="3"/>
  <c r="O456" i="3"/>
  <c r="P61" i="2"/>
  <c r="K340" i="2"/>
  <c r="O353" i="2"/>
  <c r="O410" i="2"/>
  <c r="N91" i="3"/>
  <c r="P91" i="3" s="1"/>
  <c r="L155" i="3"/>
  <c r="O155" i="3" s="1"/>
  <c r="O173" i="3"/>
  <c r="L304" i="3"/>
  <c r="O304" i="3" s="1"/>
  <c r="J327" i="3"/>
  <c r="K327" i="3" s="1"/>
  <c r="M690" i="3"/>
  <c r="M687" i="3" s="1"/>
  <c r="M685" i="3" s="1"/>
  <c r="J722" i="3"/>
  <c r="K722" i="3" s="1"/>
  <c r="L546" i="2"/>
  <c r="O546" i="2" s="1"/>
  <c r="P140" i="3"/>
  <c r="P173" i="3"/>
  <c r="L198" i="3"/>
  <c r="O198" i="3" s="1"/>
  <c r="K176" i="2"/>
  <c r="L279" i="2"/>
  <c r="L277" i="2" s="1"/>
  <c r="K825" i="2"/>
  <c r="N134" i="3"/>
  <c r="N132" i="3" s="1"/>
  <c r="M187" i="3"/>
  <c r="P187" i="3" s="1"/>
  <c r="L317" i="3"/>
  <c r="O317" i="3" s="1"/>
  <c r="K673" i="2"/>
  <c r="K672" i="2"/>
  <c r="M171" i="2"/>
  <c r="P171" i="2" s="1"/>
  <c r="P173" i="2"/>
  <c r="N68" i="3"/>
  <c r="N66" i="3" s="1"/>
  <c r="N69" i="3"/>
  <c r="P410" i="3"/>
  <c r="M408" i="3"/>
  <c r="P408" i="3" s="1"/>
  <c r="L788" i="3"/>
  <c r="O788" i="3" s="1"/>
  <c r="L789" i="3"/>
  <c r="O789" i="3" s="1"/>
  <c r="O791" i="3"/>
  <c r="P124" i="3"/>
  <c r="M122" i="3"/>
  <c r="P122" i="3" s="1"/>
  <c r="L183" i="3"/>
  <c r="L181" i="3" s="1"/>
  <c r="L184" i="3"/>
  <c r="O184" i="3" s="1"/>
  <c r="O186" i="3"/>
  <c r="P303" i="3"/>
  <c r="M300" i="3"/>
  <c r="P300" i="3" s="1"/>
  <c r="M304" i="3"/>
  <c r="P304" i="3" s="1"/>
  <c r="P306" i="3"/>
  <c r="M44" i="3"/>
  <c r="P44" i="3" s="1"/>
  <c r="M43" i="3"/>
  <c r="M41" i="3" s="1"/>
  <c r="N59" i="3"/>
  <c r="N55" i="3"/>
  <c r="N53" i="3" s="1"/>
  <c r="N395" i="3"/>
  <c r="N391" i="3"/>
  <c r="N389" i="3" s="1"/>
  <c r="O397" i="2"/>
  <c r="L395" i="2"/>
  <c r="O395" i="2" s="1"/>
  <c r="M392" i="3"/>
  <c r="P392" i="3" s="1"/>
  <c r="P394" i="3"/>
  <c r="K271" i="3"/>
  <c r="I260" i="3"/>
  <c r="K260" i="3" s="1"/>
  <c r="L331" i="3"/>
  <c r="O333" i="3"/>
  <c r="I442" i="3"/>
  <c r="K442" i="3" s="1"/>
  <c r="K460" i="3"/>
  <c r="O127" i="3"/>
  <c r="L125" i="3"/>
  <c r="O125" i="3" s="1"/>
  <c r="K174" i="3"/>
  <c r="I164" i="3"/>
  <c r="K164" i="3" s="1"/>
  <c r="K355" i="3"/>
  <c r="O660" i="3"/>
  <c r="L658" i="3"/>
  <c r="O658" i="3" s="1"/>
  <c r="M660" i="3"/>
  <c r="M658" i="3" s="1"/>
  <c r="P658" i="3" s="1"/>
  <c r="L657" i="3"/>
  <c r="L655" i="3" s="1"/>
  <c r="O655" i="3" s="1"/>
  <c r="K823" i="3"/>
  <c r="P49" i="3"/>
  <c r="M121" i="3"/>
  <c r="P121" i="3" s="1"/>
  <c r="P152" i="3"/>
  <c r="P350" i="3"/>
  <c r="L687" i="3"/>
  <c r="L685" i="3" s="1"/>
  <c r="O323" i="2"/>
  <c r="M59" i="3"/>
  <c r="P61" i="3"/>
  <c r="P71" i="3"/>
  <c r="I76" i="3"/>
  <c r="I64" i="3" s="1"/>
  <c r="K64" i="3" s="1"/>
  <c r="L249" i="3"/>
  <c r="O249" i="3" s="1"/>
  <c r="P285" i="3"/>
  <c r="O351" i="3"/>
  <c r="I364" i="3"/>
  <c r="N122" i="3"/>
  <c r="L632" i="3"/>
  <c r="O632" i="3" s="1"/>
  <c r="K708" i="3"/>
  <c r="K144" i="1"/>
  <c r="L167" i="3"/>
  <c r="L230" i="3"/>
  <c r="N300" i="3"/>
  <c r="N298" i="3" s="1"/>
  <c r="K309" i="3"/>
  <c r="P323" i="3"/>
  <c r="M331" i="3"/>
  <c r="K374" i="3"/>
  <c r="L526" i="3"/>
  <c r="O526" i="3" s="1"/>
  <c r="L533" i="3"/>
  <c r="O533" i="3" s="1"/>
  <c r="K828" i="3"/>
  <c r="J785" i="1"/>
  <c r="L55" i="3"/>
  <c r="M134" i="3"/>
  <c r="P134" i="3" s="1"/>
  <c r="L238" i="3"/>
  <c r="N263" i="3"/>
  <c r="N261" i="3" s="1"/>
  <c r="J288" i="3"/>
  <c r="J275" i="3" s="1"/>
  <c r="N331" i="3"/>
  <c r="L334" i="3"/>
  <c r="O334" i="3" s="1"/>
  <c r="K700" i="3"/>
  <c r="K822" i="3"/>
  <c r="L231" i="1"/>
  <c r="L26" i="3"/>
  <c r="L24" i="3" s="1"/>
  <c r="L68" i="3"/>
  <c r="L66" i="3" s="1"/>
  <c r="O66" i="3" s="1"/>
  <c r="K100" i="3"/>
  <c r="K204" i="3"/>
  <c r="O269" i="3"/>
  <c r="O353" i="3"/>
  <c r="K372" i="3"/>
  <c r="M472" i="3"/>
  <c r="P472" i="3" s="1"/>
  <c r="I434" i="2"/>
  <c r="I418" i="2" s="1"/>
  <c r="K418" i="2" s="1"/>
  <c r="K560" i="2"/>
  <c r="I77" i="3"/>
  <c r="I65" i="3" s="1"/>
  <c r="K65" i="3" s="1"/>
  <c r="I190" i="3"/>
  <c r="K190" i="3" s="1"/>
  <c r="N347" i="3"/>
  <c r="N345" i="3" s="1"/>
  <c r="K369" i="3"/>
  <c r="K378" i="3"/>
  <c r="J537" i="3"/>
  <c r="J522" i="3" s="1"/>
  <c r="O690" i="3"/>
  <c r="O9" i="3"/>
  <c r="O15" i="3"/>
  <c r="P12" i="3"/>
  <c r="K83" i="1"/>
  <c r="K466" i="2"/>
  <c r="K824" i="2"/>
  <c r="M26" i="3"/>
  <c r="M29" i="3"/>
  <c r="P42" i="3"/>
  <c r="P46" i="3"/>
  <c r="K79" i="3"/>
  <c r="P93" i="3"/>
  <c r="K98" i="3"/>
  <c r="I130" i="3"/>
  <c r="K130" i="3" s="1"/>
  <c r="K146" i="3"/>
  <c r="M183" i="3"/>
  <c r="P186" i="3"/>
  <c r="M184" i="3"/>
  <c r="P184" i="3" s="1"/>
  <c r="K244" i="3"/>
  <c r="I237" i="3"/>
  <c r="N267" i="3"/>
  <c r="N404" i="3"/>
  <c r="N402" i="3" s="1"/>
  <c r="N405" i="3"/>
  <c r="L134" i="3"/>
  <c r="O134" i="3" s="1"/>
  <c r="O137" i="3"/>
  <c r="L135" i="3"/>
  <c r="O135" i="3" s="1"/>
  <c r="L429" i="3"/>
  <c r="O429" i="3" s="1"/>
  <c r="O431" i="3"/>
  <c r="J226" i="1"/>
  <c r="J180" i="1" s="1"/>
  <c r="L36" i="2"/>
  <c r="L34" i="2" s="1"/>
  <c r="O34" i="2" s="1"/>
  <c r="N55" i="2"/>
  <c r="N53" i="2" s="1"/>
  <c r="P93" i="2"/>
  <c r="K365" i="2"/>
  <c r="N26" i="3"/>
  <c r="N16" i="3" s="1"/>
  <c r="N14" i="3" s="1"/>
  <c r="L47" i="3"/>
  <c r="O47" i="3" s="1"/>
  <c r="L91" i="3"/>
  <c r="N183" i="3"/>
  <c r="N181" i="3" s="1"/>
  <c r="K325" i="3"/>
  <c r="I314" i="3"/>
  <c r="K314" i="3" s="1"/>
  <c r="M334" i="3"/>
  <c r="P334" i="3" s="1"/>
  <c r="P336" i="3"/>
  <c r="M330" i="3"/>
  <c r="M328" i="3" s="1"/>
  <c r="M351" i="3"/>
  <c r="P351" i="3" s="1"/>
  <c r="P353" i="3"/>
  <c r="M347" i="3"/>
  <c r="L447" i="3"/>
  <c r="O447" i="3" s="1"/>
  <c r="L446" i="3"/>
  <c r="O449" i="3"/>
  <c r="L33" i="3"/>
  <c r="O503" i="3"/>
  <c r="L502" i="3"/>
  <c r="O502" i="3" s="1"/>
  <c r="O54" i="3"/>
  <c r="O137" i="1"/>
  <c r="O353" i="1"/>
  <c r="J582" i="1"/>
  <c r="J576" i="1" s="1"/>
  <c r="K576" i="1" s="1"/>
  <c r="M23" i="2"/>
  <c r="M21" i="2" s="1"/>
  <c r="I143" i="2"/>
  <c r="K143" i="2" s="1"/>
  <c r="L469" i="2"/>
  <c r="O469" i="2" s="1"/>
  <c r="K828" i="2"/>
  <c r="M19" i="3"/>
  <c r="O29" i="3"/>
  <c r="P35" i="3"/>
  <c r="O42" i="3"/>
  <c r="O49" i="3"/>
  <c r="O93" i="3"/>
  <c r="L217" i="3"/>
  <c r="O217" i="3" s="1"/>
  <c r="J433" i="3"/>
  <c r="J417" i="3" s="1"/>
  <c r="K435" i="3"/>
  <c r="I433" i="3"/>
  <c r="K145" i="3"/>
  <c r="J143" i="3"/>
  <c r="J131" i="3" s="1"/>
  <c r="I143" i="3"/>
  <c r="K287" i="3"/>
  <c r="I276" i="3"/>
  <c r="K276" i="3" s="1"/>
  <c r="N523" i="3"/>
  <c r="L33" i="2"/>
  <c r="L31" i="2" s="1"/>
  <c r="O31" i="2" s="1"/>
  <c r="M15" i="3"/>
  <c r="N19" i="3"/>
  <c r="L36" i="3"/>
  <c r="L43" i="3"/>
  <c r="O74" i="3"/>
  <c r="L72" i="3"/>
  <c r="O72" i="3" s="1"/>
  <c r="N238" i="3"/>
  <c r="N228" i="3"/>
  <c r="L263" i="3"/>
  <c r="L261" i="3" s="1"/>
  <c r="O266" i="3"/>
  <c r="L264" i="3"/>
  <c r="P282" i="3"/>
  <c r="M280" i="3"/>
  <c r="P280" i="3" s="1"/>
  <c r="L47" i="2"/>
  <c r="O47" i="2" s="1"/>
  <c r="N68" i="2"/>
  <c r="N66" i="2" s="1"/>
  <c r="L23" i="3"/>
  <c r="O25" i="3"/>
  <c r="O166" i="3"/>
  <c r="O348" i="3"/>
  <c r="L391" i="3"/>
  <c r="O391" i="3" s="1"/>
  <c r="O397" i="3"/>
  <c r="L395" i="3"/>
  <c r="O395" i="3" s="1"/>
  <c r="K593" i="3"/>
  <c r="J592" i="3"/>
  <c r="I77" i="1"/>
  <c r="I65" i="1" s="1"/>
  <c r="O61" i="2"/>
  <c r="P71" i="2"/>
  <c r="O154" i="2"/>
  <c r="L217" i="2"/>
  <c r="O217" i="2" s="1"/>
  <c r="K244" i="2"/>
  <c r="K309" i="2"/>
  <c r="N12" i="3"/>
  <c r="M23" i="3"/>
  <c r="N43" i="3"/>
  <c r="O46" i="3"/>
  <c r="L44" i="3"/>
  <c r="O44" i="3" s="1"/>
  <c r="P58" i="3"/>
  <c r="M56" i="3"/>
  <c r="P56" i="3" s="1"/>
  <c r="M69" i="3"/>
  <c r="P69" i="3" s="1"/>
  <c r="P157" i="3"/>
  <c r="M155" i="3"/>
  <c r="P155" i="3" s="1"/>
  <c r="O182" i="3"/>
  <c r="L321" i="3"/>
  <c r="O321" i="3" s="1"/>
  <c r="O323" i="3"/>
  <c r="O630" i="3"/>
  <c r="K821" i="1"/>
  <c r="K825" i="1"/>
  <c r="N23" i="3"/>
  <c r="K86" i="3"/>
  <c r="P127" i="3"/>
  <c r="M125" i="3"/>
  <c r="P125" i="3" s="1"/>
  <c r="P133" i="3"/>
  <c r="P154" i="3"/>
  <c r="N151" i="3"/>
  <c r="N149" i="3" s="1"/>
  <c r="M167" i="3"/>
  <c r="P170" i="3"/>
  <c r="M168" i="3"/>
  <c r="L300" i="3"/>
  <c r="O303" i="3"/>
  <c r="O320" i="3"/>
  <c r="L318" i="3"/>
  <c r="O318" i="3" s="1"/>
  <c r="L404" i="3"/>
  <c r="O407" i="3"/>
  <c r="L405" i="3"/>
  <c r="O405" i="3" s="1"/>
  <c r="L228" i="3"/>
  <c r="M263" i="3"/>
  <c r="M264" i="3"/>
  <c r="L280" i="3"/>
  <c r="O280" i="3" s="1"/>
  <c r="N279" i="3"/>
  <c r="N277" i="3" s="1"/>
  <c r="N280" i="3"/>
  <c r="M301" i="3"/>
  <c r="P301" i="3" s="1"/>
  <c r="O316" i="3"/>
  <c r="L330" i="3"/>
  <c r="L347" i="3"/>
  <c r="N525" i="3"/>
  <c r="N526" i="3"/>
  <c r="P755" i="3"/>
  <c r="M754" i="3"/>
  <c r="P754" i="3" s="1"/>
  <c r="O170" i="3"/>
  <c r="P278" i="3"/>
  <c r="K592" i="3"/>
  <c r="N33" i="3"/>
  <c r="N30" i="3" s="1"/>
  <c r="N28" i="3" s="1"/>
  <c r="O262" i="3"/>
  <c r="K340" i="3"/>
  <c r="O468" i="3"/>
  <c r="M391" i="3"/>
  <c r="O524" i="3"/>
  <c r="L546" i="3"/>
  <c r="M549" i="3"/>
  <c r="L547" i="3"/>
  <c r="O547" i="3" s="1"/>
  <c r="O557" i="3"/>
  <c r="L555" i="3"/>
  <c r="O555" i="3" s="1"/>
  <c r="O549" i="3"/>
  <c r="K672" i="3"/>
  <c r="K675" i="3"/>
  <c r="K669" i="3"/>
  <c r="K674" i="3"/>
  <c r="I654" i="3"/>
  <c r="K654" i="3" s="1"/>
  <c r="N756" i="3"/>
  <c r="N754" i="3" s="1"/>
  <c r="N757" i="3"/>
  <c r="O787" i="3"/>
  <c r="J594" i="3"/>
  <c r="K594" i="3" s="1"/>
  <c r="M317" i="3"/>
  <c r="M318" i="3"/>
  <c r="P318" i="3" s="1"/>
  <c r="M404" i="3"/>
  <c r="P407" i="3"/>
  <c r="P445" i="3"/>
  <c r="M444" i="3"/>
  <c r="P444" i="3" s="1"/>
  <c r="K725" i="3"/>
  <c r="N447" i="3"/>
  <c r="N688" i="3"/>
  <c r="O688" i="3" s="1"/>
  <c r="P788" i="3"/>
  <c r="N807" i="3"/>
  <c r="N805" i="3" s="1"/>
  <c r="M502" i="3"/>
  <c r="P502" i="3" s="1"/>
  <c r="N505" i="3"/>
  <c r="M523" i="3"/>
  <c r="P523" i="3" s="1"/>
  <c r="L754" i="3"/>
  <c r="O754" i="3" s="1"/>
  <c r="O807" i="3"/>
  <c r="N687" i="3"/>
  <c r="L737" i="3"/>
  <c r="O737" i="3" s="1"/>
  <c r="L770" i="3"/>
  <c r="O770" i="3" s="1"/>
  <c r="M805" i="3"/>
  <c r="P805" i="3" s="1"/>
  <c r="P91" i="2"/>
  <c r="N59" i="2"/>
  <c r="P59" i="2" s="1"/>
  <c r="N69" i="2"/>
  <c r="L94" i="2"/>
  <c r="O94" i="2" s="1"/>
  <c r="M138" i="2"/>
  <c r="P138" i="2" s="1"/>
  <c r="K338" i="2"/>
  <c r="P348" i="2"/>
  <c r="K385" i="2"/>
  <c r="K435" i="2"/>
  <c r="L26" i="2"/>
  <c r="L24" i="2" s="1"/>
  <c r="L121" i="2"/>
  <c r="O121" i="2" s="1"/>
  <c r="O170" i="2"/>
  <c r="L183" i="2"/>
  <c r="P184" i="1"/>
  <c r="L229" i="1"/>
  <c r="L122" i="2"/>
  <c r="O122" i="2" s="1"/>
  <c r="J143" i="2"/>
  <c r="J131" i="2" s="1"/>
  <c r="P154" i="2"/>
  <c r="P170" i="2"/>
  <c r="I190" i="2"/>
  <c r="K190" i="2" s="1"/>
  <c r="I208" i="2"/>
  <c r="K208" i="2" s="1"/>
  <c r="O282" i="2"/>
  <c r="M334" i="2"/>
  <c r="P334" i="2" s="1"/>
  <c r="K359" i="2"/>
  <c r="M660" i="2"/>
  <c r="M658" i="2" s="1"/>
  <c r="P658" i="2" s="1"/>
  <c r="K827" i="2"/>
  <c r="L280" i="2"/>
  <c r="O280" i="2" s="1"/>
  <c r="L283" i="2"/>
  <c r="O283" i="2" s="1"/>
  <c r="O336" i="1"/>
  <c r="K670" i="1"/>
  <c r="L55" i="2"/>
  <c r="N151" i="2"/>
  <c r="N149" i="2" s="1"/>
  <c r="O186" i="2"/>
  <c r="K370" i="2"/>
  <c r="O535" i="2"/>
  <c r="L68" i="2"/>
  <c r="L184" i="2"/>
  <c r="L238" i="2"/>
  <c r="O238" i="2" s="1"/>
  <c r="M300" i="2"/>
  <c r="M298" i="2" s="1"/>
  <c r="L658" i="2"/>
  <c r="O658" i="2" s="1"/>
  <c r="N229" i="1"/>
  <c r="L304" i="1"/>
  <c r="O304" i="1" s="1"/>
  <c r="K381" i="1"/>
  <c r="N90" i="2"/>
  <c r="N88" i="2" s="1"/>
  <c r="P333" i="2"/>
  <c r="N330" i="2"/>
  <c r="N328" i="2" s="1"/>
  <c r="N331" i="2"/>
  <c r="P331" i="2" s="1"/>
  <c r="K355" i="2"/>
  <c r="L525" i="2"/>
  <c r="O525" i="2" s="1"/>
  <c r="M528" i="2"/>
  <c r="P528" i="2" s="1"/>
  <c r="L526" i="2"/>
  <c r="K823" i="2"/>
  <c r="L301" i="2"/>
  <c r="O301" i="2" s="1"/>
  <c r="L300" i="2"/>
  <c r="L298" i="2" s="1"/>
  <c r="N690" i="1"/>
  <c r="N687" i="1" s="1"/>
  <c r="O687" i="1" s="1"/>
  <c r="K723" i="1"/>
  <c r="N184" i="2"/>
  <c r="P184" i="2" s="1"/>
  <c r="P186" i="2"/>
  <c r="L231" i="2"/>
  <c r="P350" i="2"/>
  <c r="O641" i="2"/>
  <c r="L639" i="2"/>
  <c r="O639" i="2" s="1"/>
  <c r="K651" i="2"/>
  <c r="I628" i="2"/>
  <c r="K628" i="2" s="1"/>
  <c r="K276" i="1"/>
  <c r="P124" i="2"/>
  <c r="P152" i="2"/>
  <c r="L167" i="2"/>
  <c r="L165" i="2" s="1"/>
  <c r="N167" i="2"/>
  <c r="N165" i="2" s="1"/>
  <c r="L198" i="2"/>
  <c r="O198" i="2" s="1"/>
  <c r="M283" i="2"/>
  <c r="P283" i="2" s="1"/>
  <c r="P285" i="2"/>
  <c r="N347" i="2"/>
  <c r="N345" i="2" s="1"/>
  <c r="O58" i="2"/>
  <c r="L125" i="2"/>
  <c r="O125" i="2" s="1"/>
  <c r="P127" i="2"/>
  <c r="N134" i="2"/>
  <c r="N132" i="2" s="1"/>
  <c r="M168" i="2"/>
  <c r="P168" i="2" s="1"/>
  <c r="I216" i="2"/>
  <c r="K216" i="2" s="1"/>
  <c r="K224" i="2"/>
  <c r="M279" i="2"/>
  <c r="M277" i="2" s="1"/>
  <c r="M280" i="2"/>
  <c r="P280" i="2" s="1"/>
  <c r="P320" i="2"/>
  <c r="M318" i="2"/>
  <c r="P410" i="2"/>
  <c r="M408" i="2"/>
  <c r="P408" i="2" s="1"/>
  <c r="L446" i="2"/>
  <c r="L444" i="2" s="1"/>
  <c r="L447" i="2"/>
  <c r="O791" i="2"/>
  <c r="L789" i="2"/>
  <c r="O789" i="2" s="1"/>
  <c r="L56" i="2"/>
  <c r="L59" i="2"/>
  <c r="O137" i="2"/>
  <c r="L171" i="2"/>
  <c r="O171" i="2" s="1"/>
  <c r="I276" i="2"/>
  <c r="K276" i="2" s="1"/>
  <c r="K287" i="2"/>
  <c r="M391" i="2"/>
  <c r="P391" i="2" s="1"/>
  <c r="M392" i="2"/>
  <c r="P392" i="2" s="1"/>
  <c r="P394" i="2"/>
  <c r="O407" i="2"/>
  <c r="L405" i="2"/>
  <c r="O405" i="2" s="1"/>
  <c r="M447" i="2"/>
  <c r="M446" i="2"/>
  <c r="M444" i="2" s="1"/>
  <c r="J729" i="1"/>
  <c r="K729" i="1" s="1"/>
  <c r="L134" i="2"/>
  <c r="O134" i="2" s="1"/>
  <c r="L152" i="2"/>
  <c r="O152" i="2" s="1"/>
  <c r="L155" i="2"/>
  <c r="O155" i="2" s="1"/>
  <c r="L331" i="2"/>
  <c r="O333" i="2"/>
  <c r="L687" i="2"/>
  <c r="L688" i="2"/>
  <c r="O69" i="1"/>
  <c r="K649" i="1"/>
  <c r="N135" i="2"/>
  <c r="O140" i="2"/>
  <c r="K146" i="2"/>
  <c r="M183" i="2"/>
  <c r="M181" i="2" s="1"/>
  <c r="L454" i="2"/>
  <c r="O454" i="2" s="1"/>
  <c r="M690" i="2"/>
  <c r="P303" i="2"/>
  <c r="K460" i="2"/>
  <c r="K822" i="2"/>
  <c r="L229" i="2"/>
  <c r="M304" i="2"/>
  <c r="P304" i="2" s="1"/>
  <c r="K649" i="2"/>
  <c r="K723" i="2"/>
  <c r="N279" i="2"/>
  <c r="N277" i="2" s="1"/>
  <c r="J327" i="2"/>
  <c r="K327" i="2" s="1"/>
  <c r="L351" i="2"/>
  <c r="O351" i="2" s="1"/>
  <c r="M404" i="2"/>
  <c r="K577" i="2"/>
  <c r="L230" i="2"/>
  <c r="M330" i="2"/>
  <c r="M328" i="2" s="1"/>
  <c r="K362" i="2"/>
  <c r="K372" i="2"/>
  <c r="K821" i="2"/>
  <c r="P407" i="2"/>
  <c r="J721" i="2"/>
  <c r="K721" i="2" s="1"/>
  <c r="P12" i="2"/>
  <c r="M9" i="2"/>
  <c r="O9" i="2"/>
  <c r="N30" i="2"/>
  <c r="N31" i="2"/>
  <c r="L36" i="1"/>
  <c r="O36" i="1" s="1"/>
  <c r="J466" i="1"/>
  <c r="K466" i="1" s="1"/>
  <c r="K538" i="1"/>
  <c r="K672" i="1"/>
  <c r="M19" i="2"/>
  <c r="O29" i="2"/>
  <c r="K102" i="1"/>
  <c r="L228" i="1"/>
  <c r="K360" i="1"/>
  <c r="P15" i="2"/>
  <c r="P29" i="2"/>
  <c r="M134" i="2"/>
  <c r="P134" i="2" s="1"/>
  <c r="P137" i="2"/>
  <c r="M135" i="2"/>
  <c r="P135" i="2" s="1"/>
  <c r="P150" i="2"/>
  <c r="P157" i="2"/>
  <c r="M155" i="2"/>
  <c r="P155" i="2" s="1"/>
  <c r="O19" i="2"/>
  <c r="N26" i="2"/>
  <c r="N34" i="2"/>
  <c r="K237" i="2"/>
  <c r="L249" i="2"/>
  <c r="O249" i="2" s="1"/>
  <c r="L228" i="2"/>
  <c r="O269" i="2"/>
  <c r="L267" i="2"/>
  <c r="O267" i="2" s="1"/>
  <c r="L347" i="2"/>
  <c r="O350" i="2"/>
  <c r="L348" i="2"/>
  <c r="O348" i="2" s="1"/>
  <c r="K294" i="1"/>
  <c r="K372" i="1"/>
  <c r="L391" i="1"/>
  <c r="O391" i="1" s="1"/>
  <c r="K643" i="1"/>
  <c r="N12" i="2"/>
  <c r="P36" i="2"/>
  <c r="M34" i="2"/>
  <c r="P34" i="2" s="1"/>
  <c r="I112" i="2"/>
  <c r="K112" i="2" s="1"/>
  <c r="N404" i="2"/>
  <c r="N402" i="2" s="1"/>
  <c r="N405" i="2"/>
  <c r="L187" i="1"/>
  <c r="O187" i="1" s="1"/>
  <c r="L454" i="1"/>
  <c r="O454" i="1" s="1"/>
  <c r="L43" i="2"/>
  <c r="O46" i="2"/>
  <c r="L23" i="2"/>
  <c r="P49" i="2"/>
  <c r="M47" i="2"/>
  <c r="P47" i="2" s="1"/>
  <c r="M26" i="2"/>
  <c r="O54" i="2"/>
  <c r="M55" i="1"/>
  <c r="M53" i="1" s="1"/>
  <c r="O138" i="1"/>
  <c r="P320" i="1"/>
  <c r="P22" i="2"/>
  <c r="P32" i="2"/>
  <c r="P46" i="2"/>
  <c r="M43" i="2"/>
  <c r="M44" i="2"/>
  <c r="I77" i="2"/>
  <c r="K79" i="2"/>
  <c r="N121" i="2"/>
  <c r="N119" i="2" s="1"/>
  <c r="L209" i="2"/>
  <c r="O209" i="2" s="1"/>
  <c r="M264" i="2"/>
  <c r="P266" i="2"/>
  <c r="N525" i="2"/>
  <c r="N523" i="2" s="1"/>
  <c r="N526" i="2"/>
  <c r="L43" i="1"/>
  <c r="L41" i="1" s="1"/>
  <c r="N230" i="1"/>
  <c r="L446" i="1"/>
  <c r="L444" i="1" s="1"/>
  <c r="O15" i="2"/>
  <c r="N44" i="2"/>
  <c r="O44" i="2" s="1"/>
  <c r="N23" i="2"/>
  <c r="K80" i="2"/>
  <c r="I76" i="2"/>
  <c r="O93" i="2"/>
  <c r="L91" i="2"/>
  <c r="O91" i="2" s="1"/>
  <c r="I164" i="2"/>
  <c r="K164" i="2" s="1"/>
  <c r="K174" i="2"/>
  <c r="P42" i="2"/>
  <c r="N56" i="2"/>
  <c r="L72" i="2"/>
  <c r="O72" i="2" s="1"/>
  <c r="M90" i="2"/>
  <c r="M121" i="2"/>
  <c r="P121" i="2" s="1"/>
  <c r="I148" i="2"/>
  <c r="K148" i="2" s="1"/>
  <c r="M167" i="2"/>
  <c r="L187" i="2"/>
  <c r="O187" i="2" s="1"/>
  <c r="P189" i="2"/>
  <c r="K225" i="2"/>
  <c r="N263" i="2"/>
  <c r="N261" i="2" s="1"/>
  <c r="N264" i="2"/>
  <c r="O264" i="2" s="1"/>
  <c r="M267" i="2"/>
  <c r="P267" i="2" s="1"/>
  <c r="P269" i="2"/>
  <c r="L334" i="2"/>
  <c r="O334" i="2" s="1"/>
  <c r="L151" i="2"/>
  <c r="P278" i="2"/>
  <c r="J288" i="2"/>
  <c r="J275" i="2" s="1"/>
  <c r="I275" i="2"/>
  <c r="P316" i="2"/>
  <c r="P323" i="2"/>
  <c r="P353" i="2"/>
  <c r="M351" i="2"/>
  <c r="P351" i="2" s="1"/>
  <c r="N392" i="2"/>
  <c r="J433" i="2"/>
  <c r="J417" i="2" s="1"/>
  <c r="N502" i="2"/>
  <c r="J559" i="2"/>
  <c r="J543" i="2" s="1"/>
  <c r="K543" i="2" s="1"/>
  <c r="K576" i="2"/>
  <c r="I86" i="2"/>
  <c r="K86" i="2" s="1"/>
  <c r="M151" i="2"/>
  <c r="L168" i="2"/>
  <c r="O168" i="2" s="1"/>
  <c r="I197" i="2"/>
  <c r="K197" i="2" s="1"/>
  <c r="O303" i="2"/>
  <c r="N300" i="2"/>
  <c r="N298" i="2" s="1"/>
  <c r="K538" i="2"/>
  <c r="J537" i="2"/>
  <c r="I87" i="2"/>
  <c r="K87" i="2" s="1"/>
  <c r="K99" i="2"/>
  <c r="P329" i="2"/>
  <c r="K379" i="2"/>
  <c r="P390" i="2"/>
  <c r="I443" i="2"/>
  <c r="K443" i="2" s="1"/>
  <c r="K462" i="2"/>
  <c r="M55" i="2"/>
  <c r="P58" i="2"/>
  <c r="O120" i="2"/>
  <c r="I233" i="2"/>
  <c r="K233" i="2" s="1"/>
  <c r="P262" i="2"/>
  <c r="O306" i="2"/>
  <c r="L330" i="2"/>
  <c r="L391" i="2"/>
  <c r="L392" i="2"/>
  <c r="O392" i="2" s="1"/>
  <c r="L421" i="2"/>
  <c r="M424" i="2"/>
  <c r="L422" i="2"/>
  <c r="O422" i="2" s="1"/>
  <c r="P524" i="2"/>
  <c r="M549" i="2"/>
  <c r="L547" i="2"/>
  <c r="O547" i="2" s="1"/>
  <c r="L555" i="2"/>
  <c r="O555" i="2" s="1"/>
  <c r="O557" i="2"/>
  <c r="M634" i="2"/>
  <c r="L632" i="2"/>
  <c r="O632" i="2" s="1"/>
  <c r="P120" i="2"/>
  <c r="M317" i="2"/>
  <c r="I364" i="2"/>
  <c r="K569" i="2"/>
  <c r="O150" i="2"/>
  <c r="L263" i="2"/>
  <c r="L261" i="2" s="1"/>
  <c r="N446" i="2"/>
  <c r="N447" i="2"/>
  <c r="O449" i="2"/>
  <c r="M472" i="2"/>
  <c r="O472" i="2"/>
  <c r="L470" i="2"/>
  <c r="O470" i="2" s="1"/>
  <c r="J592" i="2"/>
  <c r="K592" i="2" s="1"/>
  <c r="K593" i="2"/>
  <c r="O468" i="2"/>
  <c r="O479" i="2"/>
  <c r="L477" i="2"/>
  <c r="O477" i="2" s="1"/>
  <c r="O630" i="2"/>
  <c r="K674" i="2"/>
  <c r="I654" i="2"/>
  <c r="K654" i="2" s="1"/>
  <c r="K675" i="2"/>
  <c r="N685" i="2"/>
  <c r="O320" i="2"/>
  <c r="M347" i="2"/>
  <c r="K381" i="2"/>
  <c r="I417" i="2"/>
  <c r="O545" i="2"/>
  <c r="K621" i="2"/>
  <c r="L657" i="2"/>
  <c r="K669" i="2"/>
  <c r="K725" i="2"/>
  <c r="K826" i="2"/>
  <c r="N444" i="2"/>
  <c r="N504" i="2"/>
  <c r="N505" i="2"/>
  <c r="K594" i="2"/>
  <c r="J722" i="2"/>
  <c r="K722" i="2" s="1"/>
  <c r="O266" i="2"/>
  <c r="P282" i="2"/>
  <c r="P301" i="2"/>
  <c r="N317" i="2"/>
  <c r="N318" i="2"/>
  <c r="O318" i="2" s="1"/>
  <c r="K378" i="2"/>
  <c r="O528" i="2"/>
  <c r="P545" i="2"/>
  <c r="K647" i="2"/>
  <c r="P755" i="2"/>
  <c r="M754" i="2"/>
  <c r="P754" i="2" s="1"/>
  <c r="P449" i="2"/>
  <c r="P503" i="2"/>
  <c r="M502" i="2"/>
  <c r="P502" i="2" s="1"/>
  <c r="P656" i="2"/>
  <c r="N756" i="2"/>
  <c r="N754" i="2" s="1"/>
  <c r="N757" i="2"/>
  <c r="O787" i="2"/>
  <c r="L786" i="2"/>
  <c r="O786" i="2" s="1"/>
  <c r="N688" i="2"/>
  <c r="P788" i="2"/>
  <c r="N807" i="2"/>
  <c r="N805" i="2" s="1"/>
  <c r="L754" i="2"/>
  <c r="O754" i="2" s="1"/>
  <c r="L805" i="2"/>
  <c r="O805" i="2" s="1"/>
  <c r="L737" i="2"/>
  <c r="O737" i="2" s="1"/>
  <c r="L770" i="2"/>
  <c r="O770" i="2" s="1"/>
  <c r="M805" i="2"/>
  <c r="P805" i="2" s="1"/>
  <c r="K87" i="1"/>
  <c r="O154" i="1"/>
  <c r="N217" i="1"/>
  <c r="L249" i="1"/>
  <c r="K255" i="1"/>
  <c r="N68" i="1"/>
  <c r="N66" i="1" s="1"/>
  <c r="O140" i="1"/>
  <c r="J194" i="1"/>
  <c r="K225" i="1"/>
  <c r="K311" i="1"/>
  <c r="N347" i="1"/>
  <c r="N345" i="1" s="1"/>
  <c r="I364" i="1"/>
  <c r="M395" i="1"/>
  <c r="P395" i="1" s="1"/>
  <c r="K483" i="1"/>
  <c r="K728" i="1"/>
  <c r="J364" i="1"/>
  <c r="K78" i="1"/>
  <c r="K208" i="1"/>
  <c r="J233" i="1"/>
  <c r="J236" i="1"/>
  <c r="I236" i="1"/>
  <c r="K312" i="1"/>
  <c r="L317" i="1"/>
  <c r="L315" i="1" s="1"/>
  <c r="K437" i="1"/>
  <c r="J583" i="1"/>
  <c r="J577" i="1" s="1"/>
  <c r="K577" i="1" s="1"/>
  <c r="K827" i="1"/>
  <c r="O58" i="1"/>
  <c r="L90" i="1"/>
  <c r="L88" i="1" s="1"/>
  <c r="K485" i="1"/>
  <c r="K79" i="1"/>
  <c r="K338" i="1"/>
  <c r="N424" i="1"/>
  <c r="N421" i="1" s="1"/>
  <c r="N419" i="1" s="1"/>
  <c r="K438" i="1"/>
  <c r="J596" i="1"/>
  <c r="K644" i="1"/>
  <c r="K699" i="1"/>
  <c r="K720" i="1"/>
  <c r="J560" i="1"/>
  <c r="K560" i="1" s="1"/>
  <c r="J568" i="1"/>
  <c r="K568" i="1" s="1"/>
  <c r="N90" i="1"/>
  <c r="N88" i="1" s="1"/>
  <c r="J112" i="1"/>
  <c r="O282" i="1"/>
  <c r="M321" i="1"/>
  <c r="P321" i="1" s="1"/>
  <c r="L330" i="1"/>
  <c r="L328" i="1" s="1"/>
  <c r="P351" i="1"/>
  <c r="P394" i="1"/>
  <c r="O397" i="1"/>
  <c r="J434" i="1"/>
  <c r="J418" i="1" s="1"/>
  <c r="O479" i="1"/>
  <c r="K487" i="1"/>
  <c r="J595" i="1"/>
  <c r="K671" i="1"/>
  <c r="J679" i="1"/>
  <c r="J678" i="1" s="1"/>
  <c r="K726" i="1"/>
  <c r="K824" i="1"/>
  <c r="N43" i="1"/>
  <c r="K86" i="1"/>
  <c r="P186" i="1"/>
  <c r="K214" i="1"/>
  <c r="N231" i="1"/>
  <c r="K258" i="1"/>
  <c r="K288" i="1"/>
  <c r="L477" i="1"/>
  <c r="O477" i="1" s="1"/>
  <c r="L639" i="1"/>
  <c r="O639" i="1" s="1"/>
  <c r="L47" i="1"/>
  <c r="O47" i="1" s="1"/>
  <c r="P71" i="1"/>
  <c r="N134" i="1"/>
  <c r="N132" i="1" s="1"/>
  <c r="O170" i="1"/>
  <c r="M347" i="1"/>
  <c r="M345" i="1" s="1"/>
  <c r="K828" i="1"/>
  <c r="L68" i="1"/>
  <c r="L66" i="1" s="1"/>
  <c r="I76" i="1"/>
  <c r="I64" i="1" s="1"/>
  <c r="P93" i="1"/>
  <c r="K106" i="1"/>
  <c r="K174" i="1"/>
  <c r="N238" i="1"/>
  <c r="K290" i="1"/>
  <c r="L334" i="1"/>
  <c r="O334" i="1" s="1"/>
  <c r="L469" i="1"/>
  <c r="L467" i="1" s="1"/>
  <c r="K498" i="1"/>
  <c r="J561" i="1"/>
  <c r="K561" i="1" s="1"/>
  <c r="N44" i="1"/>
  <c r="L152" i="1"/>
  <c r="K340" i="1"/>
  <c r="K370" i="1"/>
  <c r="K379" i="1"/>
  <c r="K385" i="1"/>
  <c r="P140" i="1"/>
  <c r="K145" i="1"/>
  <c r="I233" i="1"/>
  <c r="I235" i="1"/>
  <c r="L331" i="1"/>
  <c r="J621" i="1"/>
  <c r="K621" i="1" s="1"/>
  <c r="J675" i="1"/>
  <c r="J669" i="1" s="1"/>
  <c r="J654" i="1" s="1"/>
  <c r="K654" i="1" s="1"/>
  <c r="K111" i="1"/>
  <c r="L134" i="1"/>
  <c r="L168" i="1"/>
  <c r="O168" i="1" s="1"/>
  <c r="M264" i="1"/>
  <c r="K291" i="1"/>
  <c r="K325" i="1"/>
  <c r="K374" i="1"/>
  <c r="J465" i="1"/>
  <c r="K465" i="1" s="1"/>
  <c r="O557" i="1"/>
  <c r="J603" i="1"/>
  <c r="K725" i="1"/>
  <c r="O91" i="1"/>
  <c r="P135" i="1"/>
  <c r="I417" i="1"/>
  <c r="K417" i="1" s="1"/>
  <c r="K433" i="1"/>
  <c r="O348" i="1"/>
  <c r="N72" i="1"/>
  <c r="K81" i="1"/>
  <c r="N94" i="1"/>
  <c r="K116" i="1"/>
  <c r="N121" i="1"/>
  <c r="N119" i="1" s="1"/>
  <c r="O124" i="1"/>
  <c r="K130" i="1"/>
  <c r="O191" i="1"/>
  <c r="K197" i="1"/>
  <c r="I275" i="1"/>
  <c r="K275" i="1" s="1"/>
  <c r="N280" i="1"/>
  <c r="O280" i="1" s="1"/>
  <c r="K310" i="1"/>
  <c r="M317" i="1"/>
  <c r="M315" i="1" s="1"/>
  <c r="O410" i="1"/>
  <c r="K439" i="1"/>
  <c r="K460" i="1"/>
  <c r="K492" i="1"/>
  <c r="K542" i="1"/>
  <c r="J604" i="1"/>
  <c r="K647" i="1"/>
  <c r="N660" i="1"/>
  <c r="N657" i="1" s="1"/>
  <c r="K822" i="1"/>
  <c r="K826" i="1"/>
  <c r="K522" i="1"/>
  <c r="L55" i="1"/>
  <c r="J76" i="1"/>
  <c r="J64" i="1" s="1"/>
  <c r="J77" i="1"/>
  <c r="J65" i="1" s="1"/>
  <c r="K113" i="1"/>
  <c r="K118" i="1"/>
  <c r="M122" i="1"/>
  <c r="P122" i="1" s="1"/>
  <c r="K146" i="1"/>
  <c r="N198" i="1"/>
  <c r="K435" i="1"/>
  <c r="N449" i="1"/>
  <c r="N446" i="1" s="1"/>
  <c r="K443" i="1"/>
  <c r="K495" i="1"/>
  <c r="L657" i="1"/>
  <c r="L655" i="1" s="1"/>
  <c r="K823" i="1"/>
  <c r="L33" i="1"/>
  <c r="L31" i="1" s="1"/>
  <c r="N55" i="1"/>
  <c r="N53" i="1" s="1"/>
  <c r="O350" i="1"/>
  <c r="K355" i="1"/>
  <c r="N404" i="1"/>
  <c r="N402" i="1" s="1"/>
  <c r="L631" i="1"/>
  <c r="L629" i="1" s="1"/>
  <c r="I785" i="1"/>
  <c r="L789" i="1"/>
  <c r="N26" i="1"/>
  <c r="N16" i="1" s="1"/>
  <c r="M33" i="1"/>
  <c r="M31" i="1" s="1"/>
  <c r="L56" i="1"/>
  <c r="O56" i="1" s="1"/>
  <c r="K82" i="1"/>
  <c r="K107" i="1"/>
  <c r="K114" i="1"/>
  <c r="M151" i="1"/>
  <c r="M149" i="1" s="1"/>
  <c r="N167" i="1"/>
  <c r="N165" i="1" s="1"/>
  <c r="K190" i="1"/>
  <c r="N209" i="1"/>
  <c r="K223" i="1"/>
  <c r="L238" i="1"/>
  <c r="K244" i="1"/>
  <c r="K248" i="1"/>
  <c r="O323" i="1"/>
  <c r="O333" i="1"/>
  <c r="L429" i="1"/>
  <c r="O429" i="1" s="1"/>
  <c r="K673" i="1"/>
  <c r="M688" i="1"/>
  <c r="O71" i="1"/>
  <c r="O93" i="1"/>
  <c r="K103" i="1"/>
  <c r="K109" i="1"/>
  <c r="N151" i="1"/>
  <c r="O157" i="1"/>
  <c r="M167" i="1"/>
  <c r="M165" i="1" s="1"/>
  <c r="O184" i="1"/>
  <c r="M183" i="1"/>
  <c r="M181" i="1" s="1"/>
  <c r="N228" i="1"/>
  <c r="N249" i="1"/>
  <c r="P333" i="1"/>
  <c r="K362" i="1"/>
  <c r="K378" i="1"/>
  <c r="M391" i="1"/>
  <c r="P391" i="1" s="1"/>
  <c r="L447" i="1"/>
  <c r="N528" i="1"/>
  <c r="N525" i="1" s="1"/>
  <c r="N549" i="1"/>
  <c r="N547" i="1" s="1"/>
  <c r="K700" i="1"/>
  <c r="J708" i="1"/>
  <c r="K708" i="1" s="1"/>
  <c r="J722" i="1"/>
  <c r="K722" i="1" s="1"/>
  <c r="K801" i="1"/>
  <c r="O61" i="1"/>
  <c r="P69" i="1"/>
  <c r="P91" i="1"/>
  <c r="I112" i="1"/>
  <c r="O127" i="1"/>
  <c r="M155" i="1"/>
  <c r="P155" i="1" s="1"/>
  <c r="M171" i="1"/>
  <c r="P171" i="1" s="1"/>
  <c r="L217" i="1"/>
  <c r="L230" i="1"/>
  <c r="J235" i="1"/>
  <c r="L392" i="1"/>
  <c r="O392" i="1" s="1"/>
  <c r="M525" i="1"/>
  <c r="M523" i="1" s="1"/>
  <c r="L44" i="1"/>
  <c r="P61" i="1"/>
  <c r="K80" i="1"/>
  <c r="K84" i="1"/>
  <c r="K98" i="1"/>
  <c r="K104" i="1"/>
  <c r="K110" i="1"/>
  <c r="P127" i="1"/>
  <c r="L151" i="1"/>
  <c r="P168" i="1"/>
  <c r="N183" i="1"/>
  <c r="N181" i="1" s="1"/>
  <c r="K224" i="1"/>
  <c r="K247" i="1"/>
  <c r="K257" i="1"/>
  <c r="N279" i="1"/>
  <c r="N277" i="1" s="1"/>
  <c r="K293" i="1"/>
  <c r="J327" i="1"/>
  <c r="K327" i="1" s="1"/>
  <c r="K369" i="1"/>
  <c r="K442" i="1"/>
  <c r="K537" i="1"/>
  <c r="K541" i="1"/>
  <c r="M547" i="1"/>
  <c r="J620" i="1"/>
  <c r="K620" i="1" s="1"/>
  <c r="J721" i="1"/>
  <c r="K721" i="1" s="1"/>
  <c r="P29" i="1"/>
  <c r="M444" i="1"/>
  <c r="O59" i="1"/>
  <c r="P59" i="1"/>
  <c r="K148" i="1"/>
  <c r="K143" i="1"/>
  <c r="I131" i="1"/>
  <c r="K131" i="1" s="1"/>
  <c r="M56" i="1"/>
  <c r="P56" i="1" s="1"/>
  <c r="M68" i="1"/>
  <c r="L72" i="1"/>
  <c r="O72" i="1" s="1"/>
  <c r="M90" i="1"/>
  <c r="L94" i="1"/>
  <c r="O94" i="1" s="1"/>
  <c r="K115" i="1"/>
  <c r="K159" i="1"/>
  <c r="K176" i="1"/>
  <c r="P266" i="1"/>
  <c r="N264" i="1"/>
  <c r="O285" i="1"/>
  <c r="L283" i="1"/>
  <c r="O283" i="1" s="1"/>
  <c r="L279" i="1"/>
  <c r="L404" i="1"/>
  <c r="O404" i="1" s="1"/>
  <c r="O407" i="1"/>
  <c r="L405" i="1"/>
  <c r="O405" i="1" s="1"/>
  <c r="L12" i="1"/>
  <c r="M15" i="1"/>
  <c r="N19" i="1"/>
  <c r="M44" i="1"/>
  <c r="M72" i="1"/>
  <c r="P72" i="1" s="1"/>
  <c r="M94" i="1"/>
  <c r="P94" i="1" s="1"/>
  <c r="K99" i="1"/>
  <c r="L121" i="1"/>
  <c r="L125" i="1"/>
  <c r="O125" i="1" s="1"/>
  <c r="M138" i="1"/>
  <c r="P138" i="1" s="1"/>
  <c r="M152" i="1"/>
  <c r="I164" i="1"/>
  <c r="K164" i="1" s="1"/>
  <c r="P170" i="1"/>
  <c r="L209" i="1"/>
  <c r="K246" i="1"/>
  <c r="N263" i="1"/>
  <c r="N261" i="1" s="1"/>
  <c r="K271" i="1"/>
  <c r="P278" i="1"/>
  <c r="K297" i="1"/>
  <c r="P807" i="1"/>
  <c r="M805" i="1"/>
  <c r="P805" i="1" s="1"/>
  <c r="M12" i="1"/>
  <c r="N15" i="1"/>
  <c r="L26" i="1"/>
  <c r="O46" i="1"/>
  <c r="P58" i="1"/>
  <c r="M121" i="1"/>
  <c r="M125" i="1"/>
  <c r="P125" i="1" s="1"/>
  <c r="M134" i="1"/>
  <c r="O150" i="1"/>
  <c r="N152" i="1"/>
  <c r="P154" i="1"/>
  <c r="L171" i="1"/>
  <c r="O171" i="1" s="1"/>
  <c r="O186" i="1"/>
  <c r="M279" i="1"/>
  <c r="P282" i="1"/>
  <c r="M280" i="1"/>
  <c r="P336" i="1"/>
  <c r="M334" i="1"/>
  <c r="P334" i="1" s="1"/>
  <c r="M330" i="1"/>
  <c r="N12" i="1"/>
  <c r="L23" i="1"/>
  <c r="L21" i="1" s="1"/>
  <c r="M26" i="1"/>
  <c r="P46" i="1"/>
  <c r="J100" i="1"/>
  <c r="K100" i="1" s="1"/>
  <c r="L167" i="1"/>
  <c r="L165" i="1" s="1"/>
  <c r="K215" i="1"/>
  <c r="P390" i="1"/>
  <c r="O468" i="1"/>
  <c r="M23" i="1"/>
  <c r="M43" i="1"/>
  <c r="P299" i="1"/>
  <c r="L300" i="1"/>
  <c r="O303" i="1"/>
  <c r="I401" i="1"/>
  <c r="K401" i="1" s="1"/>
  <c r="K412" i="1"/>
  <c r="M422" i="1"/>
  <c r="M421" i="1"/>
  <c r="M419" i="1" s="1"/>
  <c r="N23" i="1"/>
  <c r="M47" i="1"/>
  <c r="P47" i="1" s="1"/>
  <c r="P137" i="1"/>
  <c r="L183" i="1"/>
  <c r="M187" i="1"/>
  <c r="P187" i="1" s="1"/>
  <c r="K193" i="1"/>
  <c r="J216" i="1"/>
  <c r="K216" i="1" s="1"/>
  <c r="K287" i="1"/>
  <c r="O320" i="1"/>
  <c r="L318" i="1"/>
  <c r="M34" i="1"/>
  <c r="P34" i="1" s="1"/>
  <c r="L135" i="1"/>
  <c r="O135" i="1" s="1"/>
  <c r="L198" i="1"/>
  <c r="K204" i="1"/>
  <c r="K237" i="1"/>
  <c r="I226" i="1"/>
  <c r="P262" i="1"/>
  <c r="L263" i="1"/>
  <c r="O266" i="1"/>
  <c r="L264" i="1"/>
  <c r="N300" i="1"/>
  <c r="N298" i="1" s="1"/>
  <c r="N301" i="1"/>
  <c r="O301" i="1" s="1"/>
  <c r="N757" i="1"/>
  <c r="N756" i="1"/>
  <c r="N754" i="1" s="1"/>
  <c r="O166" i="1"/>
  <c r="K440" i="1"/>
  <c r="I434" i="1"/>
  <c r="M447" i="1"/>
  <c r="P545" i="1"/>
  <c r="M544" i="1"/>
  <c r="I260" i="1"/>
  <c r="K260" i="1" s="1"/>
  <c r="O269" i="1"/>
  <c r="P303" i="1"/>
  <c r="K309" i="1"/>
  <c r="N317" i="1"/>
  <c r="O394" i="1"/>
  <c r="P407" i="1"/>
  <c r="M405" i="1"/>
  <c r="P405" i="1" s="1"/>
  <c r="L547" i="1"/>
  <c r="N634" i="1"/>
  <c r="P634" i="1" s="1"/>
  <c r="O656" i="1"/>
  <c r="P771" i="1"/>
  <c r="M770" i="1"/>
  <c r="P770" i="1" s="1"/>
  <c r="M789" i="1"/>
  <c r="O420" i="1"/>
  <c r="P503" i="1"/>
  <c r="M502" i="1"/>
  <c r="P502" i="1" s="1"/>
  <c r="P524" i="1"/>
  <c r="O535" i="1"/>
  <c r="L533" i="1"/>
  <c r="O533" i="1" s="1"/>
  <c r="O630" i="1"/>
  <c r="K651" i="1"/>
  <c r="J628" i="1"/>
  <c r="K628" i="1" s="1"/>
  <c r="N330" i="1"/>
  <c r="M348" i="1"/>
  <c r="P348" i="1" s="1"/>
  <c r="K365" i="1"/>
  <c r="O403" i="1"/>
  <c r="P686" i="1"/>
  <c r="M685" i="1"/>
  <c r="L688" i="1"/>
  <c r="L737" i="1"/>
  <c r="O737" i="1" s="1"/>
  <c r="N791" i="1"/>
  <c r="P791" i="1" s="1"/>
  <c r="O806" i="1"/>
  <c r="L805" i="1"/>
  <c r="O805" i="1" s="1"/>
  <c r="I314" i="1"/>
  <c r="K314" i="1" s="1"/>
  <c r="O445" i="1"/>
  <c r="K462" i="1"/>
  <c r="M470" i="1"/>
  <c r="J569" i="1"/>
  <c r="K569" i="1" s="1"/>
  <c r="P755" i="1"/>
  <c r="M754" i="1"/>
  <c r="P754" i="1" s="1"/>
  <c r="M304" i="1"/>
  <c r="P304" i="1" s="1"/>
  <c r="M318" i="1"/>
  <c r="P350" i="1"/>
  <c r="P353" i="1"/>
  <c r="K359" i="1"/>
  <c r="N391" i="1"/>
  <c r="N389" i="1" s="1"/>
  <c r="M408" i="1"/>
  <c r="P408" i="1" s="1"/>
  <c r="P420" i="1"/>
  <c r="K489" i="1"/>
  <c r="L525" i="1"/>
  <c r="L526" i="1"/>
  <c r="J701" i="1"/>
  <c r="K701" i="1" s="1"/>
  <c r="O787" i="1"/>
  <c r="L786" i="1"/>
  <c r="M300" i="1"/>
  <c r="N318" i="1"/>
  <c r="L347" i="1"/>
  <c r="L351" i="1"/>
  <c r="O351" i="1" s="1"/>
  <c r="N472" i="1"/>
  <c r="P472" i="1" s="1"/>
  <c r="M658" i="1"/>
  <c r="N772" i="1"/>
  <c r="N770" i="1" s="1"/>
  <c r="M283" i="1"/>
  <c r="P283" i="1" s="1"/>
  <c r="N331" i="1"/>
  <c r="O390" i="1"/>
  <c r="M404" i="1"/>
  <c r="L421" i="1"/>
  <c r="N504" i="1"/>
  <c r="N502" i="1" s="1"/>
  <c r="M632" i="1"/>
  <c r="M655" i="1"/>
  <c r="L685" i="1"/>
  <c r="P738" i="1"/>
  <c r="M737" i="1"/>
  <c r="P737" i="1" s="1"/>
  <c r="K674" i="1"/>
  <c r="O300" i="16" l="1"/>
  <c r="I226" i="2"/>
  <c r="K226" i="2" s="1"/>
  <c r="L629" i="8"/>
  <c r="O629" i="8" s="1"/>
  <c r="L655" i="11"/>
  <c r="O655" i="11" s="1"/>
  <c r="P66" i="21"/>
  <c r="L655" i="7"/>
  <c r="O655" i="7" s="1"/>
  <c r="I226" i="17"/>
  <c r="K226" i="17" s="1"/>
  <c r="I226" i="10"/>
  <c r="K226" i="10" s="1"/>
  <c r="L13" i="17"/>
  <c r="L11" i="17" s="1"/>
  <c r="I64" i="18"/>
  <c r="K64" i="18" s="1"/>
  <c r="L786" i="20"/>
  <c r="O786" i="20" s="1"/>
  <c r="I226" i="19"/>
  <c r="K226" i="19" s="1"/>
  <c r="P183" i="22"/>
  <c r="P347" i="22"/>
  <c r="L298" i="22"/>
  <c r="O298" i="22" s="1"/>
  <c r="P53" i="20"/>
  <c r="P277" i="21"/>
  <c r="O261" i="22"/>
  <c r="O657" i="22"/>
  <c r="O632" i="21"/>
  <c r="M658" i="22"/>
  <c r="P658" i="22" s="1"/>
  <c r="M402" i="22"/>
  <c r="P402" i="22" s="1"/>
  <c r="L444" i="18"/>
  <c r="O444" i="18" s="1"/>
  <c r="L629" i="20"/>
  <c r="O629" i="20" s="1"/>
  <c r="P167" i="20"/>
  <c r="K76" i="20"/>
  <c r="L786" i="21"/>
  <c r="O786" i="21" s="1"/>
  <c r="O68" i="21"/>
  <c r="O421" i="16"/>
  <c r="I543" i="19"/>
  <c r="K543" i="19" s="1"/>
  <c r="O66" i="21"/>
  <c r="P68" i="21"/>
  <c r="L119" i="22"/>
  <c r="O119" i="22" s="1"/>
  <c r="K364" i="19"/>
  <c r="O298" i="21"/>
  <c r="K143" i="14"/>
  <c r="M298" i="18"/>
  <c r="P298" i="18" s="1"/>
  <c r="P53" i="21"/>
  <c r="L523" i="18"/>
  <c r="O523" i="18" s="1"/>
  <c r="O658" i="21"/>
  <c r="P55" i="21"/>
  <c r="O69" i="21"/>
  <c r="P184" i="18"/>
  <c r="L30" i="22"/>
  <c r="L28" i="22" s="1"/>
  <c r="O263" i="22"/>
  <c r="M119" i="19"/>
  <c r="P119" i="19" s="1"/>
  <c r="P41" i="20"/>
  <c r="O469" i="20"/>
  <c r="O183" i="21"/>
  <c r="M16" i="22"/>
  <c r="M14" i="22" s="1"/>
  <c r="P151" i="21"/>
  <c r="P688" i="17"/>
  <c r="O165" i="20"/>
  <c r="P404" i="21"/>
  <c r="M657" i="22"/>
  <c r="M655" i="22" s="1"/>
  <c r="O36" i="22"/>
  <c r="P330" i="22"/>
  <c r="M16" i="21"/>
  <c r="M14" i="21" s="1"/>
  <c r="O53" i="22"/>
  <c r="O330" i="22"/>
  <c r="M132" i="21"/>
  <c r="P132" i="21" s="1"/>
  <c r="M119" i="21"/>
  <c r="P119" i="21" s="1"/>
  <c r="O134" i="20"/>
  <c r="K364" i="21"/>
  <c r="P264" i="21"/>
  <c r="O68" i="3"/>
  <c r="P181" i="21"/>
  <c r="L328" i="22"/>
  <c r="O328" i="22" s="1"/>
  <c r="M20" i="22"/>
  <c r="M18" i="22" s="1"/>
  <c r="M298" i="20"/>
  <c r="P298" i="20" s="1"/>
  <c r="O167" i="20"/>
  <c r="O421" i="22"/>
  <c r="I418" i="20"/>
  <c r="K418" i="20" s="1"/>
  <c r="P404" i="20"/>
  <c r="P168" i="21"/>
  <c r="O279" i="20"/>
  <c r="P183" i="21"/>
  <c r="P181" i="20"/>
  <c r="O469" i="21"/>
  <c r="N149" i="21"/>
  <c r="N37" i="21" s="1"/>
  <c r="L181" i="21"/>
  <c r="O181" i="21" s="1"/>
  <c r="L629" i="22"/>
  <c r="O629" i="22" s="1"/>
  <c r="O347" i="22"/>
  <c r="P264" i="22"/>
  <c r="O151" i="21"/>
  <c r="P422" i="22"/>
  <c r="P134" i="20"/>
  <c r="L402" i="21"/>
  <c r="O402" i="21" s="1"/>
  <c r="P26" i="21"/>
  <c r="P328" i="22"/>
  <c r="M298" i="22"/>
  <c r="P298" i="22" s="1"/>
  <c r="M315" i="22"/>
  <c r="P315" i="22" s="1"/>
  <c r="I64" i="22"/>
  <c r="K64" i="22" s="1"/>
  <c r="O134" i="21"/>
  <c r="P165" i="21"/>
  <c r="L544" i="22"/>
  <c r="O544" i="22" s="1"/>
  <c r="L402" i="22"/>
  <c r="O402" i="22" s="1"/>
  <c r="O55" i="22"/>
  <c r="M389" i="21"/>
  <c r="P389" i="21" s="1"/>
  <c r="O125" i="18"/>
  <c r="P55" i="22"/>
  <c r="O183" i="22"/>
  <c r="O391" i="22"/>
  <c r="L389" i="22"/>
  <c r="O389" i="22" s="1"/>
  <c r="P298" i="21"/>
  <c r="P351" i="20"/>
  <c r="L149" i="21"/>
  <c r="M277" i="22"/>
  <c r="P277" i="22" s="1"/>
  <c r="M345" i="22"/>
  <c r="P345" i="22" s="1"/>
  <c r="L132" i="22"/>
  <c r="O132" i="22" s="1"/>
  <c r="L34" i="21"/>
  <c r="O34" i="21" s="1"/>
  <c r="P69" i="21"/>
  <c r="M66" i="22"/>
  <c r="P66" i="22" s="1"/>
  <c r="L13" i="21"/>
  <c r="L11" i="21" s="1"/>
  <c r="O345" i="21"/>
  <c r="P43" i="22"/>
  <c r="M165" i="20"/>
  <c r="P165" i="20" s="1"/>
  <c r="L119" i="20"/>
  <c r="O119" i="20" s="1"/>
  <c r="M657" i="21"/>
  <c r="O263" i="21"/>
  <c r="K559" i="22"/>
  <c r="L523" i="21"/>
  <c r="O523" i="21" s="1"/>
  <c r="L389" i="21"/>
  <c r="O389" i="21" s="1"/>
  <c r="L165" i="22"/>
  <c r="O165" i="22" s="1"/>
  <c r="L345" i="22"/>
  <c r="O345" i="22" s="1"/>
  <c r="K77" i="22"/>
  <c r="I543" i="20"/>
  <c r="K543" i="20" s="1"/>
  <c r="P181" i="13"/>
  <c r="L13" i="20"/>
  <c r="L11" i="20" s="1"/>
  <c r="L20" i="20"/>
  <c r="L18" i="20" s="1"/>
  <c r="M132" i="22"/>
  <c r="P132" i="22" s="1"/>
  <c r="P134" i="22"/>
  <c r="L629" i="19"/>
  <c r="O629" i="19" s="1"/>
  <c r="M31" i="20"/>
  <c r="O90" i="22"/>
  <c r="O43" i="22"/>
  <c r="L41" i="22"/>
  <c r="O41" i="22" s="1"/>
  <c r="O788" i="18"/>
  <c r="P263" i="19"/>
  <c r="O33" i="21"/>
  <c r="O41" i="21"/>
  <c r="O330" i="21"/>
  <c r="O23" i="20"/>
  <c r="L31" i="21"/>
  <c r="O31" i="21" s="1"/>
  <c r="N37" i="22"/>
  <c r="M119" i="14"/>
  <c r="P119" i="14" s="1"/>
  <c r="L30" i="18"/>
  <c r="L28" i="18" s="1"/>
  <c r="O631" i="21"/>
  <c r="P546" i="22"/>
  <c r="L298" i="18"/>
  <c r="O298" i="18" s="1"/>
  <c r="M66" i="20"/>
  <c r="P66" i="20" s="1"/>
  <c r="L20" i="21"/>
  <c r="L18" i="21" s="1"/>
  <c r="O347" i="21"/>
  <c r="P424" i="22"/>
  <c r="M149" i="22"/>
  <c r="P149" i="22" s="1"/>
  <c r="P263" i="22"/>
  <c r="M261" i="22"/>
  <c r="P261" i="22" s="1"/>
  <c r="M470" i="18"/>
  <c r="P470" i="18" s="1"/>
  <c r="L66" i="20"/>
  <c r="O66" i="20" s="1"/>
  <c r="M421" i="22"/>
  <c r="P421" i="22" s="1"/>
  <c r="L31" i="22"/>
  <c r="O181" i="22"/>
  <c r="O183" i="11"/>
  <c r="P264" i="18"/>
  <c r="M419" i="19"/>
  <c r="P419" i="19" s="1"/>
  <c r="L544" i="19"/>
  <c r="O544" i="19" s="1"/>
  <c r="L227" i="19"/>
  <c r="M422" i="19"/>
  <c r="P422" i="19" s="1"/>
  <c r="L66" i="19"/>
  <c r="O66" i="19" s="1"/>
  <c r="P167" i="21"/>
  <c r="O43" i="21"/>
  <c r="O300" i="21"/>
  <c r="P300" i="21"/>
  <c r="O655" i="22"/>
  <c r="N655" i="22"/>
  <c r="M9" i="22"/>
  <c r="P12" i="22"/>
  <c r="P424" i="19"/>
  <c r="M422" i="21"/>
  <c r="P422" i="21" s="1"/>
  <c r="O328" i="21"/>
  <c r="M447" i="22"/>
  <c r="P447" i="22" s="1"/>
  <c r="M446" i="22"/>
  <c r="P449" i="22"/>
  <c r="M33" i="22"/>
  <c r="L467" i="22"/>
  <c r="O467" i="22" s="1"/>
  <c r="M119" i="22"/>
  <c r="P119" i="22" s="1"/>
  <c r="P121" i="22"/>
  <c r="L149" i="22"/>
  <c r="O149" i="22" s="1"/>
  <c r="L544" i="14"/>
  <c r="O544" i="14" s="1"/>
  <c r="P424" i="21"/>
  <c r="L16" i="22"/>
  <c r="O26" i="22"/>
  <c r="L24" i="22"/>
  <c r="P391" i="22"/>
  <c r="M389" i="22"/>
  <c r="P389" i="22" s="1"/>
  <c r="L88" i="22"/>
  <c r="O88" i="22" s="1"/>
  <c r="O279" i="18"/>
  <c r="P345" i="21"/>
  <c r="M658" i="21"/>
  <c r="P658" i="21" s="1"/>
  <c r="O687" i="22"/>
  <c r="L685" i="22"/>
  <c r="O685" i="22" s="1"/>
  <c r="L315" i="22"/>
  <c r="O315" i="22" s="1"/>
  <c r="M181" i="22"/>
  <c r="P181" i="22" s="1"/>
  <c r="N14" i="22"/>
  <c r="K226" i="22"/>
  <c r="I180" i="22"/>
  <c r="K180" i="22" s="1"/>
  <c r="P167" i="22"/>
  <c r="M165" i="22"/>
  <c r="P165" i="22" s="1"/>
  <c r="P631" i="17"/>
  <c r="P424" i="18"/>
  <c r="O688" i="19"/>
  <c r="P55" i="20"/>
  <c r="L315" i="21"/>
  <c r="O315" i="21" s="1"/>
  <c r="P279" i="21"/>
  <c r="P43" i="21"/>
  <c r="N414" i="22"/>
  <c r="L444" i="22"/>
  <c r="O446" i="22"/>
  <c r="N24" i="22"/>
  <c r="P24" i="22" s="1"/>
  <c r="O33" i="22"/>
  <c r="O419" i="22"/>
  <c r="P41" i="22"/>
  <c r="P53" i="22"/>
  <c r="N28" i="22"/>
  <c r="P26" i="22"/>
  <c r="I418" i="19"/>
  <c r="K418" i="19" s="1"/>
  <c r="P328" i="21"/>
  <c r="O261" i="21"/>
  <c r="P280" i="21"/>
  <c r="K434" i="22"/>
  <c r="I418" i="22"/>
  <c r="K418" i="22" s="1"/>
  <c r="I417" i="22"/>
  <c r="K417" i="22" s="1"/>
  <c r="K433" i="22"/>
  <c r="N20" i="22"/>
  <c r="N18" i="22" s="1"/>
  <c r="N21" i="22"/>
  <c r="P21" i="22" s="1"/>
  <c r="N13" i="22"/>
  <c r="O279" i="22"/>
  <c r="L277" i="22"/>
  <c r="O277" i="22" s="1"/>
  <c r="N31" i="22"/>
  <c r="P90" i="22"/>
  <c r="M88" i="22"/>
  <c r="P88" i="22" s="1"/>
  <c r="O23" i="22"/>
  <c r="L13" i="22"/>
  <c r="L11" i="22" s="1"/>
  <c r="L21" i="22"/>
  <c r="L20" i="22"/>
  <c r="O68" i="22"/>
  <c r="L66" i="22"/>
  <c r="O88" i="20"/>
  <c r="P330" i="21"/>
  <c r="L9" i="22"/>
  <c r="O12" i="22"/>
  <c r="O238" i="22"/>
  <c r="L227" i="22"/>
  <c r="P23" i="22"/>
  <c r="P53" i="17"/>
  <c r="P88" i="21"/>
  <c r="K433" i="21"/>
  <c r="O345" i="19"/>
  <c r="O183" i="20"/>
  <c r="P347" i="20"/>
  <c r="P90" i="21"/>
  <c r="M658" i="20"/>
  <c r="P658" i="20" s="1"/>
  <c r="M389" i="20"/>
  <c r="P389" i="20" s="1"/>
  <c r="P347" i="21"/>
  <c r="K77" i="21"/>
  <c r="I65" i="21"/>
  <c r="K65" i="21" s="1"/>
  <c r="P660" i="20"/>
  <c r="O90" i="21"/>
  <c r="L786" i="16"/>
  <c r="O786" i="16" s="1"/>
  <c r="L20" i="18"/>
  <c r="L18" i="18" s="1"/>
  <c r="O263" i="19"/>
  <c r="M657" i="20"/>
  <c r="P657" i="20" s="1"/>
  <c r="M30" i="20"/>
  <c r="M28" i="20" s="1"/>
  <c r="P28" i="20" s="1"/>
  <c r="L419" i="21"/>
  <c r="O419" i="21" s="1"/>
  <c r="K417" i="21"/>
  <c r="P44" i="21"/>
  <c r="L30" i="21"/>
  <c r="O30" i="21" s="1"/>
  <c r="O167" i="18"/>
  <c r="M24" i="20"/>
  <c r="M419" i="21"/>
  <c r="P419" i="21" s="1"/>
  <c r="N16" i="21"/>
  <c r="N14" i="21" s="1"/>
  <c r="N24" i="21"/>
  <c r="P24" i="21" s="1"/>
  <c r="P261" i="20"/>
  <c r="P263" i="20"/>
  <c r="O88" i="21"/>
  <c r="L119" i="21"/>
  <c r="O119" i="21" s="1"/>
  <c r="O91" i="21"/>
  <c r="P91" i="21"/>
  <c r="K434" i="21"/>
  <c r="I418" i="21"/>
  <c r="K418" i="21" s="1"/>
  <c r="P317" i="21"/>
  <c r="M315" i="21"/>
  <c r="P315" i="21" s="1"/>
  <c r="M546" i="21"/>
  <c r="P549" i="21"/>
  <c r="M547" i="21"/>
  <c r="P547" i="21" s="1"/>
  <c r="O280" i="21"/>
  <c r="P41" i="21"/>
  <c r="M315" i="15"/>
  <c r="P315" i="15" s="1"/>
  <c r="O149" i="17"/>
  <c r="O168" i="20"/>
  <c r="P263" i="21"/>
  <c r="M261" i="21"/>
  <c r="P261" i="21" s="1"/>
  <c r="P23" i="21"/>
  <c r="M20" i="21"/>
  <c r="M21" i="21"/>
  <c r="I64" i="21"/>
  <c r="K64" i="21" s="1"/>
  <c r="K76" i="21"/>
  <c r="O12" i="21"/>
  <c r="L9" i="21"/>
  <c r="P546" i="17"/>
  <c r="O347" i="19"/>
  <c r="O657" i="20"/>
  <c r="P629" i="21"/>
  <c r="P631" i="21"/>
  <c r="O655" i="21"/>
  <c r="O546" i="21"/>
  <c r="L544" i="21"/>
  <c r="O544" i="21" s="1"/>
  <c r="K174" i="21"/>
  <c r="I164" i="21"/>
  <c r="K164" i="21" s="1"/>
  <c r="O447" i="21"/>
  <c r="O629" i="21"/>
  <c r="K248" i="21"/>
  <c r="I226" i="21"/>
  <c r="L227" i="21"/>
  <c r="O15" i="21"/>
  <c r="L53" i="21"/>
  <c r="O55" i="21"/>
  <c r="O90" i="15"/>
  <c r="P472" i="21"/>
  <c r="M470" i="21"/>
  <c r="P470" i="21" s="1"/>
  <c r="M469" i="21"/>
  <c r="N629" i="21"/>
  <c r="N414" i="21" s="1"/>
  <c r="M446" i="21"/>
  <c r="P449" i="21"/>
  <c r="M33" i="21"/>
  <c r="M447" i="21"/>
  <c r="P447" i="21" s="1"/>
  <c r="P29" i="21"/>
  <c r="P9" i="21"/>
  <c r="L24" i="21"/>
  <c r="O26" i="21"/>
  <c r="L16" i="21"/>
  <c r="P690" i="21"/>
  <c r="M688" i="21"/>
  <c r="P688" i="21" s="1"/>
  <c r="M687" i="21"/>
  <c r="J543" i="21"/>
  <c r="K543" i="21" s="1"/>
  <c r="K559" i="21"/>
  <c r="N13" i="21"/>
  <c r="N20" i="21"/>
  <c r="N18" i="21" s="1"/>
  <c r="N21" i="21"/>
  <c r="O21" i="21" s="1"/>
  <c r="O277" i="21"/>
  <c r="O23" i="21"/>
  <c r="K654" i="18"/>
  <c r="K434" i="14"/>
  <c r="L34" i="16"/>
  <c r="O34" i="16" s="1"/>
  <c r="P55" i="17"/>
  <c r="P347" i="19"/>
  <c r="L685" i="21"/>
  <c r="O685" i="21" s="1"/>
  <c r="O687" i="21"/>
  <c r="O446" i="21"/>
  <c r="L444" i="21"/>
  <c r="O444" i="21" s="1"/>
  <c r="O279" i="21"/>
  <c r="O29" i="21"/>
  <c r="L165" i="21"/>
  <c r="O165" i="21" s="1"/>
  <c r="O167" i="21"/>
  <c r="P183" i="20"/>
  <c r="P165" i="19"/>
  <c r="L389" i="20"/>
  <c r="O389" i="20" s="1"/>
  <c r="O391" i="20"/>
  <c r="O298" i="19"/>
  <c r="P23" i="12"/>
  <c r="O330" i="16"/>
  <c r="M421" i="18"/>
  <c r="P421" i="18" s="1"/>
  <c r="L31" i="20"/>
  <c r="O90" i="20"/>
  <c r="O786" i="18"/>
  <c r="O90" i="19"/>
  <c r="O330" i="19"/>
  <c r="P90" i="19"/>
  <c r="P328" i="20"/>
  <c r="O56" i="20"/>
  <c r="O151" i="20"/>
  <c r="L149" i="20"/>
  <c r="O149" i="20" s="1"/>
  <c r="I65" i="20"/>
  <c r="K65" i="20" s="1"/>
  <c r="K77" i="20"/>
  <c r="K364" i="17"/>
  <c r="K76" i="17"/>
  <c r="K559" i="18"/>
  <c r="O88" i="19"/>
  <c r="K433" i="20"/>
  <c r="I543" i="14"/>
  <c r="K543" i="14" s="1"/>
  <c r="O328" i="19"/>
  <c r="P330" i="20"/>
  <c r="O90" i="16"/>
  <c r="L34" i="19"/>
  <c r="O34" i="19" s="1"/>
  <c r="L16" i="19"/>
  <c r="L14" i="19" s="1"/>
  <c r="O14" i="19" s="1"/>
  <c r="P279" i="20"/>
  <c r="M277" i="20"/>
  <c r="P277" i="20" s="1"/>
  <c r="P43" i="20"/>
  <c r="K288" i="18"/>
  <c r="O300" i="19"/>
  <c r="L132" i="19"/>
  <c r="O132" i="19" s="1"/>
  <c r="O419" i="20"/>
  <c r="K434" i="18"/>
  <c r="O55" i="18"/>
  <c r="P330" i="19"/>
  <c r="L523" i="20"/>
  <c r="O523" i="20" s="1"/>
  <c r="P422" i="20"/>
  <c r="P421" i="20"/>
  <c r="K417" i="20"/>
  <c r="P44" i="20"/>
  <c r="N13" i="20"/>
  <c r="N20" i="20"/>
  <c r="N18" i="20" s="1"/>
  <c r="N21" i="20"/>
  <c r="O21" i="20" s="1"/>
  <c r="M544" i="20"/>
  <c r="P544" i="20" s="1"/>
  <c r="P546" i="20"/>
  <c r="O9" i="20"/>
  <c r="L181" i="20"/>
  <c r="O181" i="20" s="1"/>
  <c r="O29" i="20"/>
  <c r="K143" i="20"/>
  <c r="I131" i="20"/>
  <c r="K131" i="20" s="1"/>
  <c r="O446" i="20"/>
  <c r="L444" i="20"/>
  <c r="O444" i="20" s="1"/>
  <c r="O688" i="20"/>
  <c r="P687" i="20"/>
  <c r="P419" i="20"/>
  <c r="N37" i="20"/>
  <c r="O687" i="20"/>
  <c r="L685" i="20"/>
  <c r="O685" i="20" s="1"/>
  <c r="P345" i="20"/>
  <c r="M389" i="18"/>
  <c r="P389" i="18" s="1"/>
  <c r="M389" i="19"/>
  <c r="P389" i="19" s="1"/>
  <c r="O422" i="20"/>
  <c r="L402" i="20"/>
  <c r="O402" i="20" s="1"/>
  <c r="O347" i="20"/>
  <c r="L345" i="20"/>
  <c r="O345" i="20" s="1"/>
  <c r="L34" i="20"/>
  <c r="O34" i="20" s="1"/>
  <c r="O317" i="20"/>
  <c r="L315" i="20"/>
  <c r="O315" i="20" s="1"/>
  <c r="O421" i="20"/>
  <c r="O43" i="20"/>
  <c r="L41" i="20"/>
  <c r="P15" i="20"/>
  <c r="M14" i="20"/>
  <c r="M9" i="20"/>
  <c r="L30" i="20"/>
  <c r="O30" i="20" s="1"/>
  <c r="O33" i="20"/>
  <c r="L24" i="20"/>
  <c r="O26" i="20"/>
  <c r="L16" i="20"/>
  <c r="P23" i="20"/>
  <c r="M13" i="20"/>
  <c r="M20" i="20"/>
  <c r="M21" i="20"/>
  <c r="P152" i="19"/>
  <c r="M315" i="20"/>
  <c r="P315" i="20" s="1"/>
  <c r="O91" i="20"/>
  <c r="P29" i="20"/>
  <c r="O330" i="20"/>
  <c r="L328" i="20"/>
  <c r="O328" i="20" s="1"/>
  <c r="K237" i="20"/>
  <c r="I226" i="20"/>
  <c r="O391" i="19"/>
  <c r="L389" i="19"/>
  <c r="O389" i="19" s="1"/>
  <c r="L298" i="20"/>
  <c r="O298" i="20" s="1"/>
  <c r="M88" i="20"/>
  <c r="P88" i="20" s="1"/>
  <c r="P90" i="20"/>
  <c r="O238" i="20"/>
  <c r="L227" i="20"/>
  <c r="O151" i="17"/>
  <c r="L53" i="20"/>
  <c r="O53" i="20" s="1"/>
  <c r="O55" i="20"/>
  <c r="P151" i="20"/>
  <c r="M149" i="20"/>
  <c r="P149" i="20" s="1"/>
  <c r="P121" i="20"/>
  <c r="M119" i="20"/>
  <c r="P119" i="20" s="1"/>
  <c r="N31" i="20"/>
  <c r="N30" i="20"/>
  <c r="N28" i="20" s="1"/>
  <c r="O328" i="17"/>
  <c r="P44" i="19"/>
  <c r="N16" i="20"/>
  <c r="N24" i="20"/>
  <c r="P26" i="20"/>
  <c r="N414" i="20"/>
  <c r="L315" i="16"/>
  <c r="O315" i="16" s="1"/>
  <c r="P632" i="17"/>
  <c r="P685" i="20"/>
  <c r="L544" i="20"/>
  <c r="O544" i="20" s="1"/>
  <c r="O263" i="20"/>
  <c r="L261" i="20"/>
  <c r="O261" i="20" s="1"/>
  <c r="O90" i="18"/>
  <c r="O134" i="12"/>
  <c r="O657" i="15"/>
  <c r="O183" i="17"/>
  <c r="O66" i="17"/>
  <c r="N13" i="18"/>
  <c r="N10" i="18" s="1"/>
  <c r="O23" i="18"/>
  <c r="O687" i="19"/>
  <c r="I226" i="16"/>
  <c r="I131" i="18"/>
  <c r="K131" i="18" s="1"/>
  <c r="P21" i="18"/>
  <c r="O421" i="19"/>
  <c r="K785" i="18"/>
  <c r="M88" i="19"/>
  <c r="P88" i="19" s="1"/>
  <c r="M16" i="16"/>
  <c r="M14" i="16" s="1"/>
  <c r="O68" i="18"/>
  <c r="L34" i="17"/>
  <c r="O34" i="17" s="1"/>
  <c r="L786" i="19"/>
  <c r="O786" i="19" s="1"/>
  <c r="M402" i="12"/>
  <c r="P402" i="12" s="1"/>
  <c r="M16" i="18"/>
  <c r="M14" i="18" s="1"/>
  <c r="L34" i="18"/>
  <c r="O34" i="18" s="1"/>
  <c r="M328" i="19"/>
  <c r="P328" i="19" s="1"/>
  <c r="L685" i="18"/>
  <c r="O685" i="18" s="1"/>
  <c r="P43" i="18"/>
  <c r="P53" i="19"/>
  <c r="M132" i="19"/>
  <c r="P132" i="19" s="1"/>
  <c r="O404" i="19"/>
  <c r="L402" i="19"/>
  <c r="O402" i="19" s="1"/>
  <c r="P55" i="19"/>
  <c r="O446" i="17"/>
  <c r="P167" i="16"/>
  <c r="K364" i="18"/>
  <c r="L31" i="17"/>
  <c r="O31" i="17" s="1"/>
  <c r="O631" i="12"/>
  <c r="O23" i="17"/>
  <c r="L88" i="18"/>
  <c r="O88" i="18" s="1"/>
  <c r="M688" i="19"/>
  <c r="P688" i="19" s="1"/>
  <c r="P690" i="19"/>
  <c r="M687" i="19"/>
  <c r="O183" i="18"/>
  <c r="P347" i="18"/>
  <c r="O264" i="18"/>
  <c r="O151" i="19"/>
  <c r="N261" i="19"/>
  <c r="O261" i="19" s="1"/>
  <c r="L30" i="17"/>
  <c r="L28" i="17" s="1"/>
  <c r="I164" i="17"/>
  <c r="K164" i="17" s="1"/>
  <c r="K77" i="17"/>
  <c r="K537" i="18"/>
  <c r="M658" i="18"/>
  <c r="P658" i="18" s="1"/>
  <c r="M132" i="18"/>
  <c r="P132" i="18" s="1"/>
  <c r="P345" i="18"/>
  <c r="L523" i="19"/>
  <c r="O523" i="19" s="1"/>
  <c r="O181" i="19"/>
  <c r="M277" i="19"/>
  <c r="P277" i="19" s="1"/>
  <c r="O183" i="19"/>
  <c r="L24" i="19"/>
  <c r="P183" i="19"/>
  <c r="O167" i="19"/>
  <c r="P328" i="17"/>
  <c r="P660" i="18"/>
  <c r="P66" i="18"/>
  <c r="O165" i="19"/>
  <c r="P181" i="19"/>
  <c r="P151" i="19"/>
  <c r="L444" i="11"/>
  <c r="O444" i="11" s="1"/>
  <c r="M315" i="14"/>
  <c r="P315" i="14" s="1"/>
  <c r="P88" i="15"/>
  <c r="L20" i="17"/>
  <c r="L18" i="17" s="1"/>
  <c r="L402" i="17"/>
  <c r="O402" i="17" s="1"/>
  <c r="P345" i="17"/>
  <c r="P183" i="18"/>
  <c r="L315" i="19"/>
  <c r="O315" i="19" s="1"/>
  <c r="M261" i="19"/>
  <c r="O688" i="13"/>
  <c r="P151" i="17"/>
  <c r="P68" i="17"/>
  <c r="K288" i="17"/>
  <c r="M632" i="19"/>
  <c r="P632" i="19" s="1"/>
  <c r="M631" i="19"/>
  <c r="P634" i="19"/>
  <c r="M547" i="19"/>
  <c r="P547" i="19" s="1"/>
  <c r="P549" i="19"/>
  <c r="M546" i="19"/>
  <c r="O279" i="19"/>
  <c r="L277" i="19"/>
  <c r="O277" i="19" s="1"/>
  <c r="P149" i="19"/>
  <c r="M33" i="19"/>
  <c r="M13" i="19" s="1"/>
  <c r="M447" i="19"/>
  <c r="P447" i="19" s="1"/>
  <c r="M446" i="19"/>
  <c r="P449" i="19"/>
  <c r="P26" i="19"/>
  <c r="M24" i="19"/>
  <c r="M16" i="19"/>
  <c r="I417" i="19"/>
  <c r="K417" i="19" s="1"/>
  <c r="K433" i="19"/>
  <c r="P167" i="19"/>
  <c r="P167" i="13"/>
  <c r="M544" i="14"/>
  <c r="P544" i="14" s="1"/>
  <c r="O330" i="17"/>
  <c r="M16" i="17"/>
  <c r="M14" i="17" s="1"/>
  <c r="P14" i="17" s="1"/>
  <c r="P167" i="18"/>
  <c r="L31" i="18"/>
  <c r="O31" i="18" s="1"/>
  <c r="L53" i="18"/>
  <c r="O53" i="18" s="1"/>
  <c r="P318" i="18"/>
  <c r="O55" i="19"/>
  <c r="L53" i="19"/>
  <c r="O53" i="19" s="1"/>
  <c r="L467" i="19"/>
  <c r="O467" i="19" s="1"/>
  <c r="M66" i="15"/>
  <c r="P66" i="15" s="1"/>
  <c r="K76" i="16"/>
  <c r="P53" i="16"/>
  <c r="P348" i="18"/>
  <c r="N414" i="19"/>
  <c r="O419" i="19"/>
  <c r="O23" i="19"/>
  <c r="L21" i="19"/>
  <c r="O21" i="19" s="1"/>
  <c r="L13" i="19"/>
  <c r="L20" i="19"/>
  <c r="M345" i="19"/>
  <c r="P345" i="19" s="1"/>
  <c r="K76" i="19"/>
  <c r="I64" i="19"/>
  <c r="K64" i="19" s="1"/>
  <c r="N24" i="19"/>
  <c r="P660" i="19"/>
  <c r="M658" i="19"/>
  <c r="P658" i="19" s="1"/>
  <c r="M657" i="19"/>
  <c r="O43" i="19"/>
  <c r="L41" i="19"/>
  <c r="P317" i="19"/>
  <c r="M315" i="19"/>
  <c r="P315" i="19" s="1"/>
  <c r="I65" i="19"/>
  <c r="K65" i="19" s="1"/>
  <c r="K77" i="19"/>
  <c r="N9" i="19"/>
  <c r="M66" i="19"/>
  <c r="P66" i="19" s="1"/>
  <c r="P68" i="19"/>
  <c r="M469" i="19"/>
  <c r="P472" i="19"/>
  <c r="M470" i="19"/>
  <c r="P470" i="19" s="1"/>
  <c r="P404" i="19"/>
  <c r="M402" i="19"/>
  <c r="P402" i="19" s="1"/>
  <c r="P43" i="19"/>
  <c r="M41" i="19"/>
  <c r="P300" i="19"/>
  <c r="M298" i="19"/>
  <c r="P298" i="19" s="1"/>
  <c r="L31" i="19"/>
  <c r="O31" i="19" s="1"/>
  <c r="O33" i="19"/>
  <c r="L30" i="19"/>
  <c r="N13" i="19"/>
  <c r="N10" i="19" s="1"/>
  <c r="N20" i="19"/>
  <c r="N18" i="19" s="1"/>
  <c r="O68" i="17"/>
  <c r="P331" i="18"/>
  <c r="L655" i="19"/>
  <c r="O655" i="19" s="1"/>
  <c r="O657" i="19"/>
  <c r="P9" i="19"/>
  <c r="M20" i="19"/>
  <c r="P23" i="19"/>
  <c r="M21" i="19"/>
  <c r="P21" i="19" s="1"/>
  <c r="L149" i="19"/>
  <c r="O149" i="19" s="1"/>
  <c r="O446" i="19"/>
  <c r="L444" i="19"/>
  <c r="O26" i="19"/>
  <c r="L119" i="19"/>
  <c r="O119" i="19" s="1"/>
  <c r="L34" i="15"/>
  <c r="O34" i="15" s="1"/>
  <c r="P26" i="16"/>
  <c r="P347" i="17"/>
  <c r="K364" i="16"/>
  <c r="O90" i="17"/>
  <c r="O348" i="18"/>
  <c r="P165" i="18"/>
  <c r="P690" i="13"/>
  <c r="M421" i="17"/>
  <c r="P791" i="18"/>
  <c r="O317" i="18"/>
  <c r="L149" i="18"/>
  <c r="O149" i="18" s="1"/>
  <c r="L389" i="13"/>
  <c r="O389" i="13" s="1"/>
  <c r="M688" i="13"/>
  <c r="P688" i="13" s="1"/>
  <c r="O685" i="17"/>
  <c r="P90" i="16"/>
  <c r="O167" i="17"/>
  <c r="M789" i="18"/>
  <c r="P789" i="18" s="1"/>
  <c r="O277" i="18"/>
  <c r="M786" i="18"/>
  <c r="P786" i="18" s="1"/>
  <c r="L132" i="18"/>
  <c r="O132" i="18" s="1"/>
  <c r="P263" i="18"/>
  <c r="O66" i="18"/>
  <c r="O56" i="18"/>
  <c r="O419" i="16"/>
  <c r="P424" i="17"/>
  <c r="O261" i="17"/>
  <c r="P472" i="18"/>
  <c r="M402" i="18"/>
  <c r="P402" i="18" s="1"/>
  <c r="O119" i="18"/>
  <c r="O121" i="18"/>
  <c r="O629" i="17"/>
  <c r="L315" i="17"/>
  <c r="O315" i="17" s="1"/>
  <c r="N24" i="17"/>
  <c r="P24" i="17" s="1"/>
  <c r="O347" i="17"/>
  <c r="O53" i="17"/>
  <c r="M119" i="16"/>
  <c r="P119" i="16" s="1"/>
  <c r="P469" i="18"/>
  <c r="M467" i="18"/>
  <c r="P467" i="18" s="1"/>
  <c r="O263" i="18"/>
  <c r="O55" i="17"/>
  <c r="L467" i="18"/>
  <c r="O467" i="18" s="1"/>
  <c r="P348" i="17"/>
  <c r="N261" i="18"/>
  <c r="O261" i="18" s="1"/>
  <c r="P56" i="18"/>
  <c r="I65" i="18"/>
  <c r="K65" i="18" s="1"/>
  <c r="K77" i="18"/>
  <c r="P68" i="18"/>
  <c r="L21" i="18"/>
  <c r="O21" i="18" s="1"/>
  <c r="L13" i="18"/>
  <c r="L345" i="17"/>
  <c r="O345" i="17" s="1"/>
  <c r="P351" i="18"/>
  <c r="O91" i="18"/>
  <c r="O391" i="15"/>
  <c r="L298" i="16"/>
  <c r="O298" i="16" s="1"/>
  <c r="P43" i="16"/>
  <c r="O657" i="17"/>
  <c r="O263" i="17"/>
  <c r="P657" i="18"/>
  <c r="M655" i="18"/>
  <c r="P655" i="18" s="1"/>
  <c r="O43" i="18"/>
  <c r="L41" i="18"/>
  <c r="N24" i="18"/>
  <c r="P24" i="18" s="1"/>
  <c r="K174" i="18"/>
  <c r="I164" i="18"/>
  <c r="K164" i="18" s="1"/>
  <c r="N30" i="18"/>
  <c r="O33" i="18"/>
  <c r="N31" i="18"/>
  <c r="O152" i="17"/>
  <c r="M526" i="18"/>
  <c r="P526" i="18" s="1"/>
  <c r="M525" i="18"/>
  <c r="P528" i="18"/>
  <c r="M33" i="18"/>
  <c r="M13" i="18" s="1"/>
  <c r="K237" i="18"/>
  <c r="I226" i="18"/>
  <c r="N328" i="18"/>
  <c r="P328" i="18" s="1"/>
  <c r="P330" i="18"/>
  <c r="P317" i="18"/>
  <c r="N315" i="18"/>
  <c r="P315" i="18" s="1"/>
  <c r="L402" i="18"/>
  <c r="O402" i="18" s="1"/>
  <c r="O404" i="18"/>
  <c r="P55" i="18"/>
  <c r="M53" i="18"/>
  <c r="P53" i="18" s="1"/>
  <c r="L227" i="18"/>
  <c r="M119" i="18"/>
  <c r="P119" i="18" s="1"/>
  <c r="P121" i="18"/>
  <c r="O421" i="18"/>
  <c r="L419" i="18"/>
  <c r="L419" i="17"/>
  <c r="O419" i="17" s="1"/>
  <c r="L389" i="17"/>
  <c r="O389" i="17" s="1"/>
  <c r="M88" i="18"/>
  <c r="P88" i="18" s="1"/>
  <c r="P90" i="18"/>
  <c r="L315" i="18"/>
  <c r="P41" i="18"/>
  <c r="P422" i="18"/>
  <c r="M20" i="18"/>
  <c r="P23" i="18"/>
  <c r="P279" i="18"/>
  <c r="M277" i="18"/>
  <c r="P277" i="18" s="1"/>
  <c r="O631" i="16"/>
  <c r="P26" i="17"/>
  <c r="L88" i="17"/>
  <c r="O88" i="17" s="1"/>
  <c r="M546" i="18"/>
  <c r="P546" i="18" s="1"/>
  <c r="P549" i="18"/>
  <c r="M547" i="18"/>
  <c r="P547" i="18" s="1"/>
  <c r="M631" i="18"/>
  <c r="P634" i="18"/>
  <c r="M632" i="18"/>
  <c r="P632" i="18" s="1"/>
  <c r="N414" i="18"/>
  <c r="O168" i="18"/>
  <c r="L165" i="18"/>
  <c r="O165" i="18" s="1"/>
  <c r="O29" i="18"/>
  <c r="P26" i="18"/>
  <c r="O12" i="18"/>
  <c r="L9" i="18"/>
  <c r="O183" i="9"/>
  <c r="I226" i="14"/>
  <c r="K226" i="14" s="1"/>
  <c r="L132" i="14"/>
  <c r="O132" i="14" s="1"/>
  <c r="L402" i="16"/>
  <c r="O402" i="16" s="1"/>
  <c r="K433" i="18"/>
  <c r="I417" i="18"/>
  <c r="K417" i="18" s="1"/>
  <c r="O422" i="18"/>
  <c r="L16" i="18"/>
  <c r="L14" i="18" s="1"/>
  <c r="O26" i="18"/>
  <c r="O331" i="18"/>
  <c r="P9" i="18"/>
  <c r="L328" i="16"/>
  <c r="O328" i="16" s="1"/>
  <c r="L227" i="17"/>
  <c r="P149" i="17"/>
  <c r="L345" i="18"/>
  <c r="O345" i="18" s="1"/>
  <c r="O347" i="18"/>
  <c r="L544" i="18"/>
  <c r="O544" i="18" s="1"/>
  <c r="O546" i="18"/>
  <c r="O631" i="18"/>
  <c r="L629" i="18"/>
  <c r="O629" i="18" s="1"/>
  <c r="O391" i="18"/>
  <c r="L389" i="18"/>
  <c r="O389" i="18" s="1"/>
  <c r="O330" i="18"/>
  <c r="L328" i="18"/>
  <c r="P545" i="18"/>
  <c r="O184" i="18"/>
  <c r="M149" i="18"/>
  <c r="P149" i="18" s="1"/>
  <c r="P151" i="18"/>
  <c r="P29" i="18"/>
  <c r="L24" i="18"/>
  <c r="M685" i="17"/>
  <c r="P685" i="17" s="1"/>
  <c r="M66" i="17"/>
  <c r="P66" i="17" s="1"/>
  <c r="N14" i="18"/>
  <c r="N9" i="18"/>
  <c r="L181" i="18"/>
  <c r="O181" i="18" s="1"/>
  <c r="O15" i="18"/>
  <c r="N20" i="18"/>
  <c r="N18" i="18" s="1"/>
  <c r="P330" i="17"/>
  <c r="M132" i="17"/>
  <c r="P132" i="17" s="1"/>
  <c r="L119" i="17"/>
  <c r="O119" i="17" s="1"/>
  <c r="O121" i="17"/>
  <c r="O43" i="16"/>
  <c r="P261" i="16"/>
  <c r="O687" i="17"/>
  <c r="M315" i="17"/>
  <c r="P315" i="17" s="1"/>
  <c r="P263" i="9"/>
  <c r="O657" i="14"/>
  <c r="O167" i="16"/>
  <c r="L544" i="17"/>
  <c r="O544" i="17" s="1"/>
  <c r="P165" i="16"/>
  <c r="P56" i="16"/>
  <c r="L523" i="17"/>
  <c r="O523" i="17" s="1"/>
  <c r="M446" i="17"/>
  <c r="M444" i="17" s="1"/>
  <c r="P449" i="17"/>
  <c r="O263" i="9"/>
  <c r="L132" i="16"/>
  <c r="O132" i="16" s="1"/>
  <c r="P391" i="16"/>
  <c r="K433" i="17"/>
  <c r="L444" i="12"/>
  <c r="O444" i="12" s="1"/>
  <c r="M298" i="14"/>
  <c r="P298" i="14" s="1"/>
  <c r="L523" i="15"/>
  <c r="O523" i="15" s="1"/>
  <c r="I64" i="15"/>
  <c r="K64" i="15" s="1"/>
  <c r="P152" i="17"/>
  <c r="K417" i="17"/>
  <c r="O298" i="17"/>
  <c r="P298" i="17"/>
  <c r="P19" i="17"/>
  <c r="P328" i="14"/>
  <c r="M132" i="14"/>
  <c r="P132" i="14" s="1"/>
  <c r="M149" i="15"/>
  <c r="P149" i="15" s="1"/>
  <c r="M389" i="17"/>
  <c r="P389" i="17" s="1"/>
  <c r="L9" i="17"/>
  <c r="O12" i="17"/>
  <c r="P280" i="17"/>
  <c r="O181" i="17"/>
  <c r="O41" i="17"/>
  <c r="L467" i="7"/>
  <c r="O467" i="7" s="1"/>
  <c r="P351" i="16"/>
  <c r="P263" i="17"/>
  <c r="M261" i="17"/>
  <c r="P261" i="17" s="1"/>
  <c r="N20" i="17"/>
  <c r="N18" i="17" s="1"/>
  <c r="N21" i="17"/>
  <c r="O21" i="17" s="1"/>
  <c r="N13" i="17"/>
  <c r="L24" i="17"/>
  <c r="K143" i="17"/>
  <c r="I131" i="17"/>
  <c r="K131" i="17" s="1"/>
  <c r="O43" i="17"/>
  <c r="O422" i="15"/>
  <c r="K275" i="16"/>
  <c r="N88" i="16"/>
  <c r="P88" i="16" s="1"/>
  <c r="O165" i="16"/>
  <c r="O688" i="17"/>
  <c r="K543" i="17"/>
  <c r="P472" i="17"/>
  <c r="M470" i="17"/>
  <c r="P470" i="17" s="1"/>
  <c r="M469" i="17"/>
  <c r="M33" i="17"/>
  <c r="P121" i="17"/>
  <c r="M119" i="17"/>
  <c r="P119" i="17" s="1"/>
  <c r="P279" i="17"/>
  <c r="P300" i="17"/>
  <c r="O44" i="15"/>
  <c r="P330" i="16"/>
  <c r="P447" i="17"/>
  <c r="P301" i="17"/>
  <c r="O33" i="17"/>
  <c r="N30" i="17"/>
  <c r="P629" i="17"/>
  <c r="L467" i="17"/>
  <c r="O467" i="17" s="1"/>
  <c r="P12" i="17"/>
  <c r="M9" i="17"/>
  <c r="M181" i="17"/>
  <c r="P181" i="17" s="1"/>
  <c r="P183" i="17"/>
  <c r="L132" i="17"/>
  <c r="O132" i="17" s="1"/>
  <c r="O134" i="17"/>
  <c r="P41" i="17"/>
  <c r="M20" i="17"/>
  <c r="P23" i="17"/>
  <c r="P301" i="15"/>
  <c r="N444" i="17"/>
  <c r="N414" i="17" s="1"/>
  <c r="M655" i="17"/>
  <c r="P655" i="17" s="1"/>
  <c r="P657" i="17"/>
  <c r="O300" i="17"/>
  <c r="I418" i="17"/>
  <c r="K418" i="17" s="1"/>
  <c r="K434" i="17"/>
  <c r="O26" i="17"/>
  <c r="L16" i="17"/>
  <c r="P90" i="17"/>
  <c r="M88" i="17"/>
  <c r="P88" i="17" s="1"/>
  <c r="O165" i="17"/>
  <c r="P43" i="17"/>
  <c r="M165" i="17"/>
  <c r="P165" i="17" s="1"/>
  <c r="P167" i="17"/>
  <c r="O632" i="17"/>
  <c r="O631" i="17"/>
  <c r="O279" i="17"/>
  <c r="L277" i="17"/>
  <c r="O277" i="17" s="1"/>
  <c r="P277" i="17"/>
  <c r="O280" i="17"/>
  <c r="N37" i="17"/>
  <c r="P328" i="16"/>
  <c r="O184" i="15"/>
  <c r="O469" i="15"/>
  <c r="P90" i="15"/>
  <c r="M119" i="15"/>
  <c r="P119" i="15" s="1"/>
  <c r="L66" i="14"/>
  <c r="O66" i="14" s="1"/>
  <c r="P165" i="15"/>
  <c r="M632" i="16"/>
  <c r="P632" i="16" s="1"/>
  <c r="P634" i="16"/>
  <c r="I226" i="13"/>
  <c r="I180" i="13" s="1"/>
  <c r="K180" i="13" s="1"/>
  <c r="L786" i="15"/>
  <c r="O786" i="15" s="1"/>
  <c r="P134" i="15"/>
  <c r="L119" i="15"/>
  <c r="O119" i="15" s="1"/>
  <c r="P330" i="14"/>
  <c r="O43" i="14"/>
  <c r="L467" i="16"/>
  <c r="O467" i="16" s="1"/>
  <c r="M389" i="15"/>
  <c r="P389" i="15" s="1"/>
  <c r="P300" i="15"/>
  <c r="P181" i="15"/>
  <c r="L66" i="15"/>
  <c r="O66" i="15" s="1"/>
  <c r="P345" i="16"/>
  <c r="P347" i="16"/>
  <c r="K364" i="12"/>
  <c r="M422" i="13"/>
  <c r="P422" i="13" s="1"/>
  <c r="L277" i="14"/>
  <c r="O277" i="14" s="1"/>
  <c r="P43" i="14"/>
  <c r="N24" i="15"/>
  <c r="M470" i="16"/>
  <c r="P470" i="16" s="1"/>
  <c r="P90" i="14"/>
  <c r="P167" i="14"/>
  <c r="O55" i="15"/>
  <c r="O347" i="16"/>
  <c r="P472" i="16"/>
  <c r="O56" i="16"/>
  <c r="M687" i="16"/>
  <c r="P690" i="16"/>
  <c r="M688" i="16"/>
  <c r="P688" i="16" s="1"/>
  <c r="K434" i="16"/>
  <c r="I418" i="16"/>
  <c r="K418" i="16" s="1"/>
  <c r="O391" i="16"/>
  <c r="L389" i="16"/>
  <c r="O389" i="16" s="1"/>
  <c r="M421" i="13"/>
  <c r="P421" i="13" s="1"/>
  <c r="I418" i="11"/>
  <c r="K418" i="11" s="1"/>
  <c r="M546" i="13"/>
  <c r="P546" i="13" s="1"/>
  <c r="O470" i="16"/>
  <c r="P263" i="16"/>
  <c r="O263" i="16"/>
  <c r="M547" i="16"/>
  <c r="P547" i="16" s="1"/>
  <c r="P549" i="16"/>
  <c r="M658" i="13"/>
  <c r="P658" i="13" s="1"/>
  <c r="P279" i="13"/>
  <c r="N14" i="13"/>
  <c r="O168" i="15"/>
  <c r="K77" i="15"/>
  <c r="N277" i="16"/>
  <c r="P277" i="16" s="1"/>
  <c r="P279" i="16"/>
  <c r="P15" i="16"/>
  <c r="O525" i="16"/>
  <c r="L523" i="16"/>
  <c r="O523" i="16" s="1"/>
  <c r="N31" i="16"/>
  <c r="O31" i="16" s="1"/>
  <c r="N30" i="16"/>
  <c r="N28" i="16" s="1"/>
  <c r="N149" i="16"/>
  <c r="P151" i="16"/>
  <c r="I417" i="16"/>
  <c r="K417" i="16" s="1"/>
  <c r="K433" i="16"/>
  <c r="P183" i="16"/>
  <c r="N181" i="16"/>
  <c r="P181" i="16" s="1"/>
  <c r="O121" i="16"/>
  <c r="L119" i="16"/>
  <c r="O119" i="16" s="1"/>
  <c r="K77" i="11"/>
  <c r="N24" i="13"/>
  <c r="O24" i="13" s="1"/>
  <c r="O328" i="14"/>
  <c r="O183" i="14"/>
  <c r="P424" i="16"/>
  <c r="M422" i="16"/>
  <c r="P422" i="16" s="1"/>
  <c r="M421" i="16"/>
  <c r="M33" i="16"/>
  <c r="M13" i="16" s="1"/>
  <c r="P545" i="16"/>
  <c r="M544" i="16"/>
  <c r="P544" i="16" s="1"/>
  <c r="O279" i="16"/>
  <c r="L277" i="16"/>
  <c r="L9" i="16"/>
  <c r="O12" i="16"/>
  <c r="L30" i="16"/>
  <c r="O33" i="16"/>
  <c r="L88" i="16"/>
  <c r="L66" i="16"/>
  <c r="O66" i="16" s="1"/>
  <c r="K77" i="16"/>
  <c r="I65" i="16"/>
  <c r="K65" i="16" s="1"/>
  <c r="O26" i="16"/>
  <c r="L16" i="16"/>
  <c r="L24" i="16"/>
  <c r="P55" i="16"/>
  <c r="P121" i="13"/>
  <c r="P168" i="13"/>
  <c r="I64" i="13"/>
  <c r="K64" i="13" s="1"/>
  <c r="L31" i="13"/>
  <c r="O31" i="13" s="1"/>
  <c r="P151" i="14"/>
  <c r="L315" i="15"/>
  <c r="O315" i="15" s="1"/>
  <c r="K364" i="15"/>
  <c r="P300" i="16"/>
  <c r="M298" i="16"/>
  <c r="P298" i="16" s="1"/>
  <c r="M20" i="16"/>
  <c r="P23" i="16"/>
  <c r="O23" i="16"/>
  <c r="L13" i="16"/>
  <c r="L20" i="16"/>
  <c r="N16" i="16"/>
  <c r="N14" i="16" s="1"/>
  <c r="N24" i="16"/>
  <c r="P24" i="16" s="1"/>
  <c r="P19" i="16"/>
  <c r="O546" i="13"/>
  <c r="O687" i="13"/>
  <c r="M389" i="14"/>
  <c r="P389" i="14" s="1"/>
  <c r="P149" i="14"/>
  <c r="M467" i="16"/>
  <c r="P467" i="16" s="1"/>
  <c r="P469" i="16"/>
  <c r="L261" i="16"/>
  <c r="O261" i="16" s="1"/>
  <c r="O183" i="16"/>
  <c r="O15" i="16"/>
  <c r="P12" i="16"/>
  <c r="M9" i="16"/>
  <c r="L544" i="16"/>
  <c r="O544" i="16" s="1"/>
  <c r="O546" i="16"/>
  <c r="P264" i="16"/>
  <c r="O446" i="16"/>
  <c r="L444" i="16"/>
  <c r="I131" i="16"/>
  <c r="K131" i="16" s="1"/>
  <c r="K143" i="16"/>
  <c r="M41" i="16"/>
  <c r="O53" i="15"/>
  <c r="L119" i="13"/>
  <c r="O119" i="13" s="1"/>
  <c r="L629" i="14"/>
  <c r="O629" i="14" s="1"/>
  <c r="M277" i="15"/>
  <c r="P277" i="15" s="1"/>
  <c r="M629" i="16"/>
  <c r="P629" i="16" s="1"/>
  <c r="O151" i="16"/>
  <c r="L149" i="16"/>
  <c r="N20" i="16"/>
  <c r="N18" i="16" s="1"/>
  <c r="N13" i="16"/>
  <c r="N21" i="16"/>
  <c r="P21" i="16" s="1"/>
  <c r="L389" i="12"/>
  <c r="O389" i="12" s="1"/>
  <c r="L345" i="16"/>
  <c r="O345" i="16" s="1"/>
  <c r="O41" i="16"/>
  <c r="P404" i="16"/>
  <c r="M402" i="16"/>
  <c r="P402" i="16" s="1"/>
  <c r="K174" i="16"/>
  <c r="I164" i="16"/>
  <c r="K164" i="16" s="1"/>
  <c r="O238" i="16"/>
  <c r="L227" i="16"/>
  <c r="M66" i="16"/>
  <c r="P66" i="16" s="1"/>
  <c r="P134" i="16"/>
  <c r="M132" i="16"/>
  <c r="P132" i="16" s="1"/>
  <c r="K559" i="16"/>
  <c r="I543" i="16"/>
  <c r="K543" i="16" s="1"/>
  <c r="P53" i="9"/>
  <c r="M315" i="16"/>
  <c r="P315" i="16" s="1"/>
  <c r="P317" i="16"/>
  <c r="N414" i="16"/>
  <c r="O55" i="16"/>
  <c r="L53" i="16"/>
  <c r="O53" i="16" s="1"/>
  <c r="P167" i="15"/>
  <c r="L467" i="12"/>
  <c r="O467" i="12" s="1"/>
  <c r="O404" i="14"/>
  <c r="L277" i="15"/>
  <c r="O277" i="15" s="1"/>
  <c r="P183" i="15"/>
  <c r="P263" i="15"/>
  <c r="P56" i="13"/>
  <c r="P467" i="15"/>
  <c r="O53" i="9"/>
  <c r="O134" i="15"/>
  <c r="L132" i="15"/>
  <c r="O132" i="15" s="1"/>
  <c r="O91" i="13"/>
  <c r="M132" i="13"/>
  <c r="P132" i="13" s="1"/>
  <c r="M298" i="15"/>
  <c r="P298" i="15" s="1"/>
  <c r="L523" i="10"/>
  <c r="O523" i="10" s="1"/>
  <c r="O261" i="15"/>
  <c r="P261" i="15"/>
  <c r="O331" i="15"/>
  <c r="M389" i="10"/>
  <c r="P389" i="10" s="1"/>
  <c r="K434" i="12"/>
  <c r="L31" i="14"/>
  <c r="O31" i="14" s="1"/>
  <c r="O263" i="15"/>
  <c r="P91" i="14"/>
  <c r="P424" i="15"/>
  <c r="M421" i="15"/>
  <c r="M33" i="15"/>
  <c r="M13" i="15" s="1"/>
  <c r="M422" i="15"/>
  <c r="P422" i="15" s="1"/>
  <c r="O300" i="15"/>
  <c r="L298" i="15"/>
  <c r="O298" i="15" s="1"/>
  <c r="M402" i="15"/>
  <c r="P402" i="15" s="1"/>
  <c r="L444" i="15"/>
  <c r="O444" i="15" s="1"/>
  <c r="L20" i="15"/>
  <c r="L21" i="15"/>
  <c r="O23" i="15"/>
  <c r="L13" i="15"/>
  <c r="O249" i="15"/>
  <c r="L227" i="15"/>
  <c r="N414" i="15"/>
  <c r="O31" i="15"/>
  <c r="M631" i="15"/>
  <c r="P634" i="15"/>
  <c r="M632" i="15"/>
  <c r="P632" i="15" s="1"/>
  <c r="L41" i="15"/>
  <c r="O43" i="15"/>
  <c r="O167" i="13"/>
  <c r="O347" i="15"/>
  <c r="L345" i="15"/>
  <c r="N21" i="15"/>
  <c r="P21" i="15" s="1"/>
  <c r="N13" i="15"/>
  <c r="N20" i="15"/>
  <c r="N18" i="15" s="1"/>
  <c r="O419" i="15"/>
  <c r="O167" i="15"/>
  <c r="L165" i="15"/>
  <c r="O165" i="15" s="1"/>
  <c r="M53" i="15"/>
  <c r="P53" i="15" s="1"/>
  <c r="P55" i="15"/>
  <c r="O421" i="15"/>
  <c r="P449" i="15"/>
  <c r="M447" i="15"/>
  <c r="P447" i="15" s="1"/>
  <c r="M446" i="15"/>
  <c r="O546" i="15"/>
  <c r="L544" i="15"/>
  <c r="O544" i="15" s="1"/>
  <c r="K433" i="15"/>
  <c r="I417" i="15"/>
  <c r="K417" i="15" s="1"/>
  <c r="K143" i="15"/>
  <c r="I131" i="15"/>
  <c r="K131" i="15" s="1"/>
  <c r="P19" i="15"/>
  <c r="M20" i="15"/>
  <c r="P23" i="15"/>
  <c r="O33" i="15"/>
  <c r="L30" i="15"/>
  <c r="M24" i="15"/>
  <c r="P26" i="15"/>
  <c r="M16" i="15"/>
  <c r="M9" i="15"/>
  <c r="P12" i="15"/>
  <c r="N345" i="15"/>
  <c r="P345" i="15" s="1"/>
  <c r="P347" i="15"/>
  <c r="M546" i="15"/>
  <c r="P549" i="15"/>
  <c r="M547" i="15"/>
  <c r="P547" i="15" s="1"/>
  <c r="O88" i="15"/>
  <c r="L149" i="15"/>
  <c r="O149" i="15" s="1"/>
  <c r="N9" i="15"/>
  <c r="N14" i="15"/>
  <c r="I418" i="15"/>
  <c r="K418" i="15" s="1"/>
  <c r="K434" i="15"/>
  <c r="P331" i="14"/>
  <c r="O183" i="15"/>
  <c r="L181" i="15"/>
  <c r="O181" i="15" s="1"/>
  <c r="K237" i="15"/>
  <c r="I226" i="15"/>
  <c r="O404" i="15"/>
  <c r="L402" i="15"/>
  <c r="O402" i="15" s="1"/>
  <c r="O330" i="15"/>
  <c r="L328" i="15"/>
  <c r="N41" i="15"/>
  <c r="P43" i="15"/>
  <c r="O631" i="15"/>
  <c r="L629" i="15"/>
  <c r="O629" i="15" s="1"/>
  <c r="N328" i="15"/>
  <c r="P328" i="15" s="1"/>
  <c r="P330" i="15"/>
  <c r="L24" i="15"/>
  <c r="O26" i="15"/>
  <c r="L16" i="15"/>
  <c r="O9" i="15"/>
  <c r="O184" i="13"/>
  <c r="P167" i="12"/>
  <c r="P549" i="13"/>
  <c r="P90" i="12"/>
  <c r="L629" i="13"/>
  <c r="O629" i="13" s="1"/>
  <c r="M315" i="12"/>
  <c r="P315" i="12" s="1"/>
  <c r="M447" i="12"/>
  <c r="P447" i="12" s="1"/>
  <c r="O90" i="12"/>
  <c r="O631" i="10"/>
  <c r="M298" i="11"/>
  <c r="P298" i="11" s="1"/>
  <c r="O55" i="14"/>
  <c r="P43" i="11"/>
  <c r="O657" i="12"/>
  <c r="L277" i="12"/>
  <c r="O277" i="12" s="1"/>
  <c r="M402" i="13"/>
  <c r="P402" i="13" s="1"/>
  <c r="P345" i="14"/>
  <c r="N24" i="14"/>
  <c r="P24" i="14" s="1"/>
  <c r="M66" i="14"/>
  <c r="P66" i="14" s="1"/>
  <c r="N41" i="14"/>
  <c r="O41" i="14" s="1"/>
  <c r="O657" i="13"/>
  <c r="O330" i="14"/>
  <c r="L315" i="12"/>
  <c r="O315" i="12" s="1"/>
  <c r="P167" i="3"/>
  <c r="P55" i="9"/>
  <c r="O345" i="11"/>
  <c r="P687" i="13"/>
  <c r="P53" i="13"/>
  <c r="N20" i="13"/>
  <c r="N18" i="13" s="1"/>
  <c r="L523" i="14"/>
  <c r="O523" i="14" s="1"/>
  <c r="I65" i="14"/>
  <c r="K65" i="14" s="1"/>
  <c r="L53" i="14"/>
  <c r="L685" i="11"/>
  <c r="O685" i="11" s="1"/>
  <c r="P91" i="12"/>
  <c r="P183" i="13"/>
  <c r="O90" i="14"/>
  <c r="P347" i="14"/>
  <c r="L119" i="14"/>
  <c r="O119" i="14" s="1"/>
  <c r="P421" i="10"/>
  <c r="K77" i="13"/>
  <c r="L655" i="9"/>
  <c r="O655" i="9" s="1"/>
  <c r="K77" i="9"/>
  <c r="P183" i="12"/>
  <c r="O55" i="13"/>
  <c r="P56" i="14"/>
  <c r="P660" i="14"/>
  <c r="M657" i="14"/>
  <c r="P90" i="4"/>
  <c r="O91" i="12"/>
  <c r="O183" i="12"/>
  <c r="P347" i="13"/>
  <c r="P55" i="13"/>
  <c r="L467" i="14"/>
  <c r="O467" i="14" s="1"/>
  <c r="I164" i="14"/>
  <c r="K164" i="14" s="1"/>
  <c r="K174" i="14"/>
  <c r="N414" i="14"/>
  <c r="P88" i="14"/>
  <c r="O88" i="14"/>
  <c r="O12" i="14"/>
  <c r="L9" i="14"/>
  <c r="M66" i="11"/>
  <c r="P66" i="11" s="1"/>
  <c r="M389" i="12"/>
  <c r="P389" i="12" s="1"/>
  <c r="L786" i="13"/>
  <c r="O786" i="13" s="1"/>
  <c r="O263" i="14"/>
  <c r="L20" i="14"/>
  <c r="L13" i="14"/>
  <c r="O23" i="14"/>
  <c r="O347" i="14"/>
  <c r="L345" i="14"/>
  <c r="O345" i="14" s="1"/>
  <c r="M41" i="14"/>
  <c r="O687" i="14"/>
  <c r="L685" i="14"/>
  <c r="O685" i="14" s="1"/>
  <c r="N165" i="14"/>
  <c r="O547" i="12"/>
  <c r="N21" i="14"/>
  <c r="O21" i="14" s="1"/>
  <c r="N13" i="14"/>
  <c r="N20" i="14"/>
  <c r="N18" i="14" s="1"/>
  <c r="O36" i="14"/>
  <c r="L34" i="14"/>
  <c r="O34" i="14" s="1"/>
  <c r="P183" i="14"/>
  <c r="N181" i="14"/>
  <c r="L315" i="14"/>
  <c r="O315" i="14" s="1"/>
  <c r="L444" i="13"/>
  <c r="O444" i="13" s="1"/>
  <c r="L53" i="13"/>
  <c r="O53" i="13" s="1"/>
  <c r="L786" i="14"/>
  <c r="O786" i="14" s="1"/>
  <c r="M402" i="14"/>
  <c r="P402" i="14" s="1"/>
  <c r="M9" i="14"/>
  <c r="P12" i="14"/>
  <c r="L261" i="14"/>
  <c r="O152" i="14"/>
  <c r="N53" i="14"/>
  <c r="P53" i="14" s="1"/>
  <c r="P55" i="14"/>
  <c r="L16" i="9"/>
  <c r="L14" i="9" s="1"/>
  <c r="L30" i="9"/>
  <c r="L28" i="9" s="1"/>
  <c r="M422" i="14"/>
  <c r="P422" i="14" s="1"/>
  <c r="P424" i="14"/>
  <c r="M33" i="14"/>
  <c r="M13" i="14" s="1"/>
  <c r="M11" i="14" s="1"/>
  <c r="M421" i="14"/>
  <c r="O238" i="14"/>
  <c r="L227" i="14"/>
  <c r="I64" i="14"/>
  <c r="K64" i="14" s="1"/>
  <c r="K76" i="14"/>
  <c r="P184" i="14"/>
  <c r="L444" i="14"/>
  <c r="O444" i="14" s="1"/>
  <c r="L419" i="14"/>
  <c r="O421" i="14"/>
  <c r="L402" i="7"/>
  <c r="O402" i="7" s="1"/>
  <c r="M165" i="13"/>
  <c r="P165" i="13" s="1"/>
  <c r="M469" i="14"/>
  <c r="P472" i="14"/>
  <c r="M470" i="14"/>
  <c r="P470" i="14" s="1"/>
  <c r="L389" i="14"/>
  <c r="O389" i="14" s="1"/>
  <c r="O391" i="14"/>
  <c r="J364" i="14"/>
  <c r="K364" i="14" s="1"/>
  <c r="P26" i="14"/>
  <c r="M16" i="14"/>
  <c r="O167" i="14"/>
  <c r="O151" i="14"/>
  <c r="L149" i="14"/>
  <c r="O149" i="14" s="1"/>
  <c r="L30" i="14"/>
  <c r="L34" i="9"/>
  <c r="O34" i="9" s="1"/>
  <c r="P331" i="12"/>
  <c r="P23" i="14"/>
  <c r="M20" i="14"/>
  <c r="K433" i="14"/>
  <c r="I417" i="14"/>
  <c r="K417" i="14" s="1"/>
  <c r="P19" i="14"/>
  <c r="M277" i="14"/>
  <c r="P277" i="14" s="1"/>
  <c r="O26" i="14"/>
  <c r="L24" i="14"/>
  <c r="L16" i="14"/>
  <c r="O351" i="14"/>
  <c r="P330" i="13"/>
  <c r="O300" i="14"/>
  <c r="L298" i="14"/>
  <c r="O298" i="14" s="1"/>
  <c r="N261" i="14"/>
  <c r="P261" i="14" s="1"/>
  <c r="P263" i="14"/>
  <c r="L402" i="9"/>
  <c r="O402" i="9" s="1"/>
  <c r="O23" i="10"/>
  <c r="O90" i="11"/>
  <c r="O55" i="12"/>
  <c r="M165" i="12"/>
  <c r="P165" i="12" s="1"/>
  <c r="N13" i="13"/>
  <c r="N10" i="13" s="1"/>
  <c r="O300" i="13"/>
  <c r="O68" i="13"/>
  <c r="P660" i="13"/>
  <c r="M33" i="13"/>
  <c r="M13" i="13" s="1"/>
  <c r="O21" i="13"/>
  <c r="O66" i="13"/>
  <c r="L31" i="10"/>
  <c r="O31" i="10" s="1"/>
  <c r="M181" i="12"/>
  <c r="P181" i="12" s="1"/>
  <c r="O167" i="12"/>
  <c r="M33" i="12"/>
  <c r="M13" i="12" s="1"/>
  <c r="M11" i="12" s="1"/>
  <c r="O44" i="13"/>
  <c r="L655" i="10"/>
  <c r="O655" i="10" s="1"/>
  <c r="L786" i="11"/>
  <c r="O786" i="11" s="1"/>
  <c r="L31" i="11"/>
  <c r="O31" i="11" s="1"/>
  <c r="M277" i="12"/>
  <c r="P277" i="12" s="1"/>
  <c r="O121" i="12"/>
  <c r="P331" i="13"/>
  <c r="P657" i="13"/>
  <c r="K417" i="13"/>
  <c r="P43" i="13"/>
  <c r="N16" i="12"/>
  <c r="N14" i="12" s="1"/>
  <c r="L523" i="13"/>
  <c r="O523" i="13" s="1"/>
  <c r="K433" i="13"/>
  <c r="N345" i="13"/>
  <c r="P345" i="13" s="1"/>
  <c r="L132" i="13"/>
  <c r="O132" i="13" s="1"/>
  <c r="O165" i="13"/>
  <c r="O43" i="13"/>
  <c r="L30" i="13"/>
  <c r="L28" i="13" s="1"/>
  <c r="O28" i="13" s="1"/>
  <c r="K364" i="11"/>
  <c r="P330" i="12"/>
  <c r="P134" i="12"/>
  <c r="K76" i="12"/>
  <c r="O149" i="13"/>
  <c r="O36" i="13"/>
  <c r="N132" i="12"/>
  <c r="P132" i="12" s="1"/>
  <c r="L419" i="12"/>
  <c r="O419" i="12" s="1"/>
  <c r="P300" i="13"/>
  <c r="K559" i="13"/>
  <c r="I543" i="13"/>
  <c r="K543" i="13" s="1"/>
  <c r="O300" i="8"/>
  <c r="M33" i="11"/>
  <c r="M30" i="11" s="1"/>
  <c r="I64" i="11"/>
  <c r="K64" i="11" s="1"/>
  <c r="M88" i="12"/>
  <c r="P88" i="12" s="1"/>
  <c r="O151" i="13"/>
  <c r="O55" i="9"/>
  <c r="L21" i="10"/>
  <c r="L13" i="10"/>
  <c r="L11" i="10" s="1"/>
  <c r="P404" i="10"/>
  <c r="O149" i="11"/>
  <c r="O24" i="12"/>
  <c r="L345" i="13"/>
  <c r="O347" i="13"/>
  <c r="P26" i="13"/>
  <c r="M16" i="13"/>
  <c r="P16" i="13" s="1"/>
  <c r="O330" i="13"/>
  <c r="P15" i="13"/>
  <c r="I131" i="13"/>
  <c r="K131" i="13" s="1"/>
  <c r="K143" i="13"/>
  <c r="O15" i="13"/>
  <c r="P41" i="13"/>
  <c r="L328" i="13"/>
  <c r="L66" i="7"/>
  <c r="O66" i="7" s="1"/>
  <c r="L132" i="9"/>
  <c r="O132" i="9" s="1"/>
  <c r="P55" i="11"/>
  <c r="O469" i="11"/>
  <c r="P449" i="12"/>
  <c r="L31" i="12"/>
  <c r="O31" i="12" s="1"/>
  <c r="L467" i="13"/>
  <c r="O467" i="13" s="1"/>
  <c r="O469" i="13"/>
  <c r="L402" i="13"/>
  <c r="O402" i="13" s="1"/>
  <c r="L315" i="13"/>
  <c r="O315" i="13" s="1"/>
  <c r="O317" i="13"/>
  <c r="P90" i="13"/>
  <c r="M88" i="13"/>
  <c r="P88" i="13" s="1"/>
  <c r="O12" i="13"/>
  <c r="L9" i="13"/>
  <c r="L261" i="13"/>
  <c r="O261" i="13" s="1"/>
  <c r="O263" i="13"/>
  <c r="M149" i="13"/>
  <c r="P149" i="13" s="1"/>
  <c r="P151" i="13"/>
  <c r="M298" i="13"/>
  <c r="P298" i="13" s="1"/>
  <c r="L277" i="13"/>
  <c r="O277" i="13" s="1"/>
  <c r="O279" i="13"/>
  <c r="M119" i="10"/>
  <c r="P119" i="10" s="1"/>
  <c r="P53" i="11"/>
  <c r="M402" i="11"/>
  <c r="P402" i="11" s="1"/>
  <c r="I418" i="13"/>
  <c r="K418" i="13" s="1"/>
  <c r="K434" i="13"/>
  <c r="O152" i="13"/>
  <c r="P152" i="13"/>
  <c r="L298" i="13"/>
  <c r="O298" i="13" s="1"/>
  <c r="N9" i="13"/>
  <c r="P391" i="13"/>
  <c r="M389" i="13"/>
  <c r="P389" i="13" s="1"/>
  <c r="L88" i="13"/>
  <c r="O88" i="13" s="1"/>
  <c r="O90" i="13"/>
  <c r="P69" i="13"/>
  <c r="P19" i="13"/>
  <c r="O23" i="13"/>
  <c r="L13" i="13"/>
  <c r="L11" i="13" s="1"/>
  <c r="L20" i="13"/>
  <c r="P90" i="9"/>
  <c r="M469" i="11"/>
  <c r="P469" i="11" s="1"/>
  <c r="L149" i="12"/>
  <c r="O149" i="12" s="1"/>
  <c r="O263" i="12"/>
  <c r="P263" i="13"/>
  <c r="M261" i="13"/>
  <c r="P261" i="13" s="1"/>
  <c r="M66" i="13"/>
  <c r="P66" i="13" s="1"/>
  <c r="P68" i="13"/>
  <c r="L419" i="13"/>
  <c r="O421" i="13"/>
  <c r="O26" i="13"/>
  <c r="L16" i="13"/>
  <c r="O16" i="13" s="1"/>
  <c r="N328" i="13"/>
  <c r="P328" i="13" s="1"/>
  <c r="P12" i="13"/>
  <c r="M9" i="13"/>
  <c r="O238" i="13"/>
  <c r="L227" i="13"/>
  <c r="M470" i="11"/>
  <c r="P470" i="11" s="1"/>
  <c r="P263" i="12"/>
  <c r="P317" i="13"/>
  <c r="M315" i="13"/>
  <c r="P315" i="13" s="1"/>
  <c r="O41" i="13"/>
  <c r="P348" i="13"/>
  <c r="L181" i="13"/>
  <c r="O181" i="13" s="1"/>
  <c r="O183" i="13"/>
  <c r="M20" i="13"/>
  <c r="P23" i="13"/>
  <c r="M21" i="13"/>
  <c r="P21" i="13" s="1"/>
  <c r="K559" i="12"/>
  <c r="I543" i="12"/>
  <c r="K543" i="12" s="1"/>
  <c r="M119" i="11"/>
  <c r="P119" i="11" s="1"/>
  <c r="P168" i="12"/>
  <c r="M444" i="12"/>
  <c r="P444" i="12" s="1"/>
  <c r="L181" i="12"/>
  <c r="O181" i="12" s="1"/>
  <c r="O184" i="12"/>
  <c r="L165" i="12"/>
  <c r="O165" i="12" s="1"/>
  <c r="M687" i="12"/>
  <c r="P690" i="12"/>
  <c r="M688" i="12"/>
  <c r="P688" i="12" s="1"/>
  <c r="O317" i="11"/>
  <c r="M132" i="11"/>
  <c r="P132" i="11" s="1"/>
  <c r="P279" i="11"/>
  <c r="O167" i="11"/>
  <c r="P328" i="12"/>
  <c r="L523" i="12"/>
  <c r="O523" i="12" s="1"/>
  <c r="O53" i="12"/>
  <c r="O249" i="12"/>
  <c r="L227" i="12"/>
  <c r="O19" i="12"/>
  <c r="P546" i="12"/>
  <c r="O168" i="12"/>
  <c r="O41" i="12"/>
  <c r="M467" i="12"/>
  <c r="P467" i="12" s="1"/>
  <c r="P469" i="12"/>
  <c r="O330" i="12"/>
  <c r="L328" i="12"/>
  <c r="O328" i="12" s="1"/>
  <c r="P298" i="12"/>
  <c r="O347" i="9"/>
  <c r="M655" i="12"/>
  <c r="P655" i="12" s="1"/>
  <c r="P657" i="12"/>
  <c r="O36" i="12"/>
  <c r="L30" i="12"/>
  <c r="L34" i="12"/>
  <c r="O34" i="12" s="1"/>
  <c r="M24" i="12"/>
  <c r="P24" i="12" s="1"/>
  <c r="P26" i="12"/>
  <c r="M16" i="12"/>
  <c r="I65" i="12"/>
  <c r="K65" i="12" s="1"/>
  <c r="K77" i="12"/>
  <c r="P15" i="12"/>
  <c r="P391" i="11"/>
  <c r="M389" i="11"/>
  <c r="P389" i="11" s="1"/>
  <c r="M53" i="12"/>
  <c r="P53" i="12" s="1"/>
  <c r="P55" i="12"/>
  <c r="O688" i="12"/>
  <c r="K143" i="12"/>
  <c r="L119" i="11"/>
  <c r="O119" i="11" s="1"/>
  <c r="K433" i="12"/>
  <c r="I417" i="12"/>
  <c r="K417" i="12" s="1"/>
  <c r="O15" i="12"/>
  <c r="L544" i="12"/>
  <c r="O544" i="12" s="1"/>
  <c r="O546" i="12"/>
  <c r="M261" i="12"/>
  <c r="P261" i="12" s="1"/>
  <c r="L21" i="12"/>
  <c r="O23" i="12"/>
  <c r="L13" i="12"/>
  <c r="L20" i="12"/>
  <c r="L18" i="12" s="1"/>
  <c r="M41" i="12"/>
  <c r="P43" i="12"/>
  <c r="O68" i="12"/>
  <c r="L66" i="12"/>
  <c r="O66" i="12" s="1"/>
  <c r="L786" i="7"/>
  <c r="O786" i="7" s="1"/>
  <c r="O330" i="9"/>
  <c r="P330" i="9"/>
  <c r="P167" i="10"/>
  <c r="O44" i="11"/>
  <c r="L20" i="11"/>
  <c r="L18" i="11" s="1"/>
  <c r="O23" i="11"/>
  <c r="O55" i="11"/>
  <c r="O347" i="12"/>
  <c r="L345" i="12"/>
  <c r="O345" i="12" s="1"/>
  <c r="K226" i="12"/>
  <c r="I180" i="12"/>
  <c r="K180" i="12" s="1"/>
  <c r="P421" i="12"/>
  <c r="M419" i="12"/>
  <c r="N9" i="12"/>
  <c r="O331" i="12"/>
  <c r="M66" i="12"/>
  <c r="P66" i="12" s="1"/>
  <c r="L402" i="8"/>
  <c r="O402" i="8" s="1"/>
  <c r="L345" i="9"/>
  <c r="O345" i="9" s="1"/>
  <c r="N88" i="9"/>
  <c r="P88" i="9" s="1"/>
  <c r="O167" i="9"/>
  <c r="K434" i="10"/>
  <c r="P547" i="12"/>
  <c r="P347" i="12"/>
  <c r="P300" i="12"/>
  <c r="P151" i="12"/>
  <c r="M149" i="12"/>
  <c r="P149" i="12" s="1"/>
  <c r="P29" i="12"/>
  <c r="L9" i="12"/>
  <c r="O12" i="12"/>
  <c r="L261" i="12"/>
  <c r="O261" i="12" s="1"/>
  <c r="P348" i="12"/>
  <c r="L786" i="9"/>
  <c r="O786" i="9" s="1"/>
  <c r="N13" i="11"/>
  <c r="N11" i="11" s="1"/>
  <c r="P422" i="11"/>
  <c r="L402" i="12"/>
  <c r="O402" i="12" s="1"/>
  <c r="O404" i="12"/>
  <c r="O300" i="12"/>
  <c r="O685" i="12"/>
  <c r="P184" i="12"/>
  <c r="P121" i="12"/>
  <c r="M119" i="12"/>
  <c r="P119" i="12" s="1"/>
  <c r="L298" i="12"/>
  <c r="O298" i="12" s="1"/>
  <c r="O44" i="12"/>
  <c r="P44" i="12"/>
  <c r="P345" i="12"/>
  <c r="N13" i="12"/>
  <c r="N20" i="12"/>
  <c r="N18" i="12" s="1"/>
  <c r="N21" i="12"/>
  <c r="P21" i="12" s="1"/>
  <c r="P12" i="12"/>
  <c r="M9" i="12"/>
  <c r="M20" i="12"/>
  <c r="L88" i="12"/>
  <c r="O88" i="12" s="1"/>
  <c r="O43" i="12"/>
  <c r="O26" i="12"/>
  <c r="L16" i="12"/>
  <c r="O151" i="11"/>
  <c r="N24" i="10"/>
  <c r="L30" i="10"/>
  <c r="O30" i="10" s="1"/>
  <c r="O165" i="11"/>
  <c r="O347" i="11"/>
  <c r="P330" i="7"/>
  <c r="L315" i="9"/>
  <c r="O315" i="9" s="1"/>
  <c r="M277" i="9"/>
  <c r="P277" i="9" s="1"/>
  <c r="I64" i="10"/>
  <c r="K64" i="10" s="1"/>
  <c r="L13" i="11"/>
  <c r="L11" i="11" s="1"/>
  <c r="M315" i="10"/>
  <c r="P315" i="10" s="1"/>
  <c r="O687" i="10"/>
  <c r="L132" i="10"/>
  <c r="O132" i="10" s="1"/>
  <c r="N20" i="10"/>
  <c r="N18" i="10" s="1"/>
  <c r="L21" i="11"/>
  <c r="O21" i="11" s="1"/>
  <c r="L53" i="11"/>
  <c r="O53" i="11" s="1"/>
  <c r="L389" i="6"/>
  <c r="O389" i="6" s="1"/>
  <c r="O347" i="7"/>
  <c r="P55" i="10"/>
  <c r="O330" i="11"/>
  <c r="P55" i="6"/>
  <c r="O444" i="10"/>
  <c r="O446" i="10"/>
  <c r="L277" i="11"/>
  <c r="O277" i="11" s="1"/>
  <c r="L66" i="11"/>
  <c r="O66" i="11" s="1"/>
  <c r="N21" i="10"/>
  <c r="M546" i="11"/>
  <c r="M547" i="11"/>
  <c r="P547" i="11" s="1"/>
  <c r="L119" i="8"/>
  <c r="O119" i="8" s="1"/>
  <c r="L149" i="9"/>
  <c r="O149" i="9" s="1"/>
  <c r="L20" i="10"/>
  <c r="L18" i="10" s="1"/>
  <c r="N10" i="10"/>
  <c r="L389" i="11"/>
  <c r="O389" i="11" s="1"/>
  <c r="M132" i="9"/>
  <c r="P132" i="9" s="1"/>
  <c r="L227" i="11"/>
  <c r="O29" i="11"/>
  <c r="M419" i="7"/>
  <c r="P419" i="7" s="1"/>
  <c r="O469" i="8"/>
  <c r="L181" i="9"/>
  <c r="O181" i="9" s="1"/>
  <c r="P330" i="10"/>
  <c r="O90" i="10"/>
  <c r="O422" i="11"/>
  <c r="O419" i="11"/>
  <c r="L41" i="11"/>
  <c r="O43" i="11"/>
  <c r="K237" i="11"/>
  <c r="I226" i="11"/>
  <c r="P347" i="11"/>
  <c r="N181" i="11"/>
  <c r="O181" i="11" s="1"/>
  <c r="P90" i="10"/>
  <c r="O348" i="11"/>
  <c r="K174" i="11"/>
  <c r="I164" i="11"/>
  <c r="K164" i="11" s="1"/>
  <c r="N414" i="11"/>
  <c r="P263" i="11"/>
  <c r="O421" i="9"/>
  <c r="L24" i="9"/>
  <c r="O546" i="9"/>
  <c r="M53" i="10"/>
  <c r="O546" i="10"/>
  <c r="L277" i="10"/>
  <c r="O277" i="10" s="1"/>
  <c r="P421" i="11"/>
  <c r="M88" i="11"/>
  <c r="P88" i="11" s="1"/>
  <c r="P90" i="11"/>
  <c r="N20" i="11"/>
  <c r="N18" i="11" s="1"/>
  <c r="P15" i="11"/>
  <c r="L16" i="11"/>
  <c r="P183" i="11"/>
  <c r="O328" i="11"/>
  <c r="K433" i="11"/>
  <c r="I417" i="11"/>
  <c r="K417" i="11" s="1"/>
  <c r="O685" i="8"/>
  <c r="O167" i="10"/>
  <c r="O525" i="11"/>
  <c r="L523" i="11"/>
  <c r="O523" i="11" s="1"/>
  <c r="P167" i="11"/>
  <c r="M165" i="11"/>
  <c r="P165" i="11" s="1"/>
  <c r="L9" i="11"/>
  <c r="O12" i="11"/>
  <c r="P26" i="11"/>
  <c r="M16" i="11"/>
  <c r="P16" i="11" s="1"/>
  <c r="O421" i="11"/>
  <c r="L30" i="11"/>
  <c r="O30" i="11" s="1"/>
  <c r="L132" i="11"/>
  <c r="O132" i="11" s="1"/>
  <c r="P152" i="11"/>
  <c r="L315" i="3"/>
  <c r="O315" i="3" s="1"/>
  <c r="O348" i="10"/>
  <c r="O632" i="11"/>
  <c r="P345" i="11"/>
  <c r="P261" i="11"/>
  <c r="M21" i="11"/>
  <c r="P21" i="11" s="1"/>
  <c r="M20" i="11"/>
  <c r="P23" i="11"/>
  <c r="P151" i="11"/>
  <c r="M149" i="11"/>
  <c r="P149" i="11" s="1"/>
  <c r="O26" i="11"/>
  <c r="O631" i="11"/>
  <c r="N24" i="11"/>
  <c r="O24" i="11" s="1"/>
  <c r="L34" i="11"/>
  <c r="O34" i="11" s="1"/>
  <c r="M41" i="11"/>
  <c r="L165" i="5"/>
  <c r="O165" i="5" s="1"/>
  <c r="O687" i="6"/>
  <c r="P151" i="8"/>
  <c r="M632" i="11"/>
  <c r="P632" i="11" s="1"/>
  <c r="M631" i="11"/>
  <c r="P634" i="11"/>
  <c r="P330" i="11"/>
  <c r="O263" i="11"/>
  <c r="L261" i="11"/>
  <c r="O261" i="11" s="1"/>
  <c r="M328" i="11"/>
  <c r="P328" i="11" s="1"/>
  <c r="O546" i="11"/>
  <c r="L544" i="11"/>
  <c r="O544" i="11" s="1"/>
  <c r="L298" i="11"/>
  <c r="O298" i="11" s="1"/>
  <c r="O88" i="11"/>
  <c r="M315" i="11"/>
  <c r="P315" i="11" s="1"/>
  <c r="P264" i="7"/>
  <c r="O404" i="11"/>
  <c r="L402" i="11"/>
  <c r="O402" i="11" s="1"/>
  <c r="P9" i="11"/>
  <c r="O331" i="11"/>
  <c r="O263" i="6"/>
  <c r="O33" i="6"/>
  <c r="P348" i="7"/>
  <c r="M315" i="9"/>
  <c r="P315" i="9" s="1"/>
  <c r="O330" i="7"/>
  <c r="P183" i="9"/>
  <c r="N14" i="10"/>
  <c r="P315" i="5"/>
  <c r="M298" i="10"/>
  <c r="P298" i="10" s="1"/>
  <c r="P300" i="10"/>
  <c r="L786" i="10"/>
  <c r="O786" i="10" s="1"/>
  <c r="M546" i="10"/>
  <c r="M547" i="10"/>
  <c r="P547" i="10" s="1"/>
  <c r="L786" i="8"/>
  <c r="O786" i="8" s="1"/>
  <c r="O181" i="10"/>
  <c r="O183" i="10"/>
  <c r="M66" i="9"/>
  <c r="P66" i="9" s="1"/>
  <c r="L119" i="9"/>
  <c r="O119" i="9" s="1"/>
  <c r="P181" i="10"/>
  <c r="P151" i="9"/>
  <c r="M149" i="9"/>
  <c r="P149" i="9" s="1"/>
  <c r="O264" i="9"/>
  <c r="M688" i="10"/>
  <c r="P688" i="10" s="1"/>
  <c r="M687" i="10"/>
  <c r="P690" i="10"/>
  <c r="M447" i="10"/>
  <c r="P447" i="10" s="1"/>
  <c r="M446" i="10"/>
  <c r="M33" i="10"/>
  <c r="P183" i="10"/>
  <c r="M132" i="10"/>
  <c r="P132" i="10" s="1"/>
  <c r="O446" i="6"/>
  <c r="O631" i="7"/>
  <c r="K433" i="10"/>
  <c r="O263" i="10"/>
  <c r="L315" i="10"/>
  <c r="O315" i="10" s="1"/>
  <c r="O317" i="10"/>
  <c r="M165" i="10"/>
  <c r="P165" i="10" s="1"/>
  <c r="L34" i="10"/>
  <c r="O34" i="10" s="1"/>
  <c r="O345" i="8"/>
  <c r="O68" i="10"/>
  <c r="L66" i="10"/>
  <c r="O66" i="10" s="1"/>
  <c r="O261" i="10"/>
  <c r="M24" i="10"/>
  <c r="P26" i="10"/>
  <c r="M16" i="10"/>
  <c r="P16" i="10" s="1"/>
  <c r="P347" i="10"/>
  <c r="K77" i="10"/>
  <c r="I65" i="10"/>
  <c r="K65" i="10" s="1"/>
  <c r="P23" i="10"/>
  <c r="M20" i="10"/>
  <c r="M21" i="10"/>
  <c r="O688" i="10"/>
  <c r="M261" i="10"/>
  <c r="P261" i="10" s="1"/>
  <c r="P263" i="10"/>
  <c r="K174" i="10"/>
  <c r="I164" i="10"/>
  <c r="K164" i="10" s="1"/>
  <c r="N328" i="10"/>
  <c r="P328" i="10" s="1"/>
  <c r="O331" i="10"/>
  <c r="P43" i="10"/>
  <c r="O121" i="10"/>
  <c r="L119" i="10"/>
  <c r="O119" i="10" s="1"/>
  <c r="O167" i="3"/>
  <c r="L261" i="9"/>
  <c r="O261" i="9" s="1"/>
  <c r="O347" i="10"/>
  <c r="L345" i="10"/>
  <c r="O345" i="10" s="1"/>
  <c r="P419" i="10"/>
  <c r="N11" i="10"/>
  <c r="N9" i="10"/>
  <c r="L227" i="10"/>
  <c r="O238" i="10"/>
  <c r="M88" i="10"/>
  <c r="P88" i="10" s="1"/>
  <c r="O26" i="10"/>
  <c r="L16" i="10"/>
  <c r="L24" i="10"/>
  <c r="O330" i="10"/>
  <c r="L328" i="10"/>
  <c r="L165" i="10"/>
  <c r="O165" i="10" s="1"/>
  <c r="M149" i="10"/>
  <c r="P149" i="10" s="1"/>
  <c r="P263" i="7"/>
  <c r="O41" i="10"/>
  <c r="P345" i="10"/>
  <c r="K143" i="10"/>
  <c r="I131" i="10"/>
  <c r="K131" i="10" s="1"/>
  <c r="P12" i="10"/>
  <c r="M9" i="10"/>
  <c r="O300" i="10"/>
  <c r="L298" i="10"/>
  <c r="O298" i="10" s="1"/>
  <c r="L88" i="10"/>
  <c r="O88" i="10" s="1"/>
  <c r="P41" i="10"/>
  <c r="O263" i="7"/>
  <c r="P90" i="7"/>
  <c r="P88" i="8"/>
  <c r="P15" i="10"/>
  <c r="L419" i="10"/>
  <c r="O421" i="10"/>
  <c r="O9" i="10"/>
  <c r="L389" i="10"/>
  <c r="O389" i="10" s="1"/>
  <c r="K559" i="10"/>
  <c r="I543" i="10"/>
  <c r="K543" i="10" s="1"/>
  <c r="L402" i="10"/>
  <c r="O402" i="10" s="1"/>
  <c r="O404" i="10"/>
  <c r="M66" i="10"/>
  <c r="P66" i="10" s="1"/>
  <c r="N53" i="10"/>
  <c r="O53" i="10" s="1"/>
  <c r="O55" i="10"/>
  <c r="I164" i="4"/>
  <c r="K164" i="4" s="1"/>
  <c r="M277" i="10"/>
  <c r="P277" i="10" s="1"/>
  <c r="P279" i="10"/>
  <c r="O151" i="10"/>
  <c r="L149" i="10"/>
  <c r="O149" i="10" s="1"/>
  <c r="O43" i="10"/>
  <c r="M261" i="7"/>
  <c r="P261" i="7" s="1"/>
  <c r="O298" i="8"/>
  <c r="N24" i="8"/>
  <c r="O24" i="8" s="1"/>
  <c r="L149" i="8"/>
  <c r="O149" i="8" s="1"/>
  <c r="O43" i="7"/>
  <c r="O33" i="9"/>
  <c r="L31" i="9"/>
  <c r="O31" i="9" s="1"/>
  <c r="K364" i="6"/>
  <c r="L419" i="8"/>
  <c r="O419" i="8" s="1"/>
  <c r="N14" i="8"/>
  <c r="L132" i="8"/>
  <c r="O132" i="8" s="1"/>
  <c r="L298" i="9"/>
  <c r="O298" i="9" s="1"/>
  <c r="O91" i="8"/>
  <c r="O26" i="8"/>
  <c r="O277" i="8"/>
  <c r="O688" i="9"/>
  <c r="O44" i="9"/>
  <c r="P168" i="6"/>
  <c r="L419" i="7"/>
  <c r="O419" i="7" s="1"/>
  <c r="I131" i="8"/>
  <c r="K131" i="8" s="1"/>
  <c r="P184" i="9"/>
  <c r="P91" i="9"/>
  <c r="M421" i="9"/>
  <c r="M419" i="9" s="1"/>
  <c r="M414" i="9" s="1"/>
  <c r="M422" i="9"/>
  <c r="P422" i="9" s="1"/>
  <c r="M33" i="9"/>
  <c r="M13" i="9" s="1"/>
  <c r="M119" i="8"/>
  <c r="P119" i="8" s="1"/>
  <c r="N41" i="7"/>
  <c r="P41" i="7" s="1"/>
  <c r="P91" i="8"/>
  <c r="O56" i="9"/>
  <c r="L277" i="6"/>
  <c r="O277" i="6" s="1"/>
  <c r="L16" i="8"/>
  <c r="L14" i="8" s="1"/>
  <c r="M328" i="9"/>
  <c r="P328" i="9" s="1"/>
  <c r="O391" i="9"/>
  <c r="L389" i="9"/>
  <c r="O389" i="9" s="1"/>
  <c r="P348" i="9"/>
  <c r="O330" i="6"/>
  <c r="L34" i="8"/>
  <c r="O34" i="8" s="1"/>
  <c r="O183" i="8"/>
  <c r="O90" i="9"/>
  <c r="O331" i="9"/>
  <c r="O9" i="9"/>
  <c r="P151" i="6"/>
  <c r="L544" i="8"/>
  <c r="O544" i="8" s="1"/>
  <c r="O43" i="8"/>
  <c r="K77" i="8"/>
  <c r="L467" i="9"/>
  <c r="O467" i="9" s="1"/>
  <c r="L523" i="9"/>
  <c r="O523" i="9" s="1"/>
  <c r="M402" i="9"/>
  <c r="P402" i="9" s="1"/>
  <c r="P404" i="9"/>
  <c r="I418" i="9"/>
  <c r="K418" i="9" s="1"/>
  <c r="K434" i="9"/>
  <c r="P43" i="9"/>
  <c r="M41" i="9"/>
  <c r="O168" i="9"/>
  <c r="M261" i="9"/>
  <c r="P261" i="9" s="1"/>
  <c r="L20" i="9"/>
  <c r="O23" i="9"/>
  <c r="L13" i="9"/>
  <c r="O279" i="9"/>
  <c r="L277" i="9"/>
  <c r="O277" i="9" s="1"/>
  <c r="N21" i="9"/>
  <c r="O21" i="9" s="1"/>
  <c r="N13" i="9"/>
  <c r="N20" i="9"/>
  <c r="N18" i="9" s="1"/>
  <c r="P23" i="9"/>
  <c r="M21" i="9"/>
  <c r="M20" i="9"/>
  <c r="K76" i="7"/>
  <c r="P55" i="8"/>
  <c r="N419" i="9"/>
  <c r="P181" i="9"/>
  <c r="L315" i="7"/>
  <c r="O315" i="7" s="1"/>
  <c r="M389" i="7"/>
  <c r="P389" i="7" s="1"/>
  <c r="P53" i="8"/>
  <c r="P56" i="8"/>
  <c r="O685" i="9"/>
  <c r="L629" i="9"/>
  <c r="O629" i="9" s="1"/>
  <c r="O631" i="9"/>
  <c r="O29" i="9"/>
  <c r="N16" i="9"/>
  <c r="N14" i="9" s="1"/>
  <c r="N24" i="9"/>
  <c r="K248" i="9"/>
  <c r="I226" i="9"/>
  <c r="L66" i="9"/>
  <c r="O66" i="9" s="1"/>
  <c r="O41" i="9"/>
  <c r="O43" i="9"/>
  <c r="I543" i="9"/>
  <c r="K543" i="9" s="1"/>
  <c r="K559" i="9"/>
  <c r="K143" i="9"/>
  <c r="I131" i="9"/>
  <c r="K131" i="9" s="1"/>
  <c r="P15" i="9"/>
  <c r="L328" i="8"/>
  <c r="O328" i="8" s="1"/>
  <c r="O330" i="8"/>
  <c r="P351" i="8"/>
  <c r="P687" i="9"/>
  <c r="P347" i="9"/>
  <c r="M345" i="9"/>
  <c r="P345" i="9" s="1"/>
  <c r="P167" i="9"/>
  <c r="M9" i="9"/>
  <c r="O238" i="9"/>
  <c r="L227" i="9"/>
  <c r="N28" i="9"/>
  <c r="O317" i="8"/>
  <c r="L315" i="8"/>
  <c r="O315" i="8" s="1"/>
  <c r="O26" i="9"/>
  <c r="I417" i="9"/>
  <c r="K417" i="9" s="1"/>
  <c r="K433" i="9"/>
  <c r="P391" i="9"/>
  <c r="M389" i="9"/>
  <c r="P389" i="9" s="1"/>
  <c r="M16" i="9"/>
  <c r="M14" i="9" s="1"/>
  <c r="P26" i="9"/>
  <c r="M24" i="9"/>
  <c r="P300" i="9"/>
  <c r="M298" i="9"/>
  <c r="P298" i="9" s="1"/>
  <c r="O687" i="9"/>
  <c r="L328" i="9"/>
  <c r="O328" i="9" s="1"/>
  <c r="I64" i="9"/>
  <c r="K64" i="9" s="1"/>
  <c r="K76" i="9"/>
  <c r="N165" i="9"/>
  <c r="O165" i="9" s="1"/>
  <c r="P121" i="9"/>
  <c r="M119" i="9"/>
  <c r="P119" i="9" s="1"/>
  <c r="M165" i="8"/>
  <c r="P165" i="8" s="1"/>
  <c r="P167" i="8"/>
  <c r="P184" i="6"/>
  <c r="L685" i="7"/>
  <c r="O685" i="7" s="1"/>
  <c r="O183" i="6"/>
  <c r="I65" i="6"/>
  <c r="K65" i="6" s="1"/>
  <c r="M315" i="8"/>
  <c r="P315" i="8" s="1"/>
  <c r="M88" i="7"/>
  <c r="P88" i="7" s="1"/>
  <c r="L277" i="7"/>
  <c r="O277" i="7" s="1"/>
  <c r="O44" i="7"/>
  <c r="L389" i="7"/>
  <c r="O389" i="7" s="1"/>
  <c r="N41" i="8"/>
  <c r="P41" i="8" s="1"/>
  <c r="P277" i="8"/>
  <c r="I418" i="4"/>
  <c r="K418" i="4" s="1"/>
  <c r="P43" i="7"/>
  <c r="O347" i="8"/>
  <c r="L629" i="2"/>
  <c r="O629" i="2" s="1"/>
  <c r="P421" i="6"/>
  <c r="M422" i="7"/>
  <c r="P422" i="7" s="1"/>
  <c r="O317" i="2"/>
  <c r="O33" i="2"/>
  <c r="P424" i="7"/>
  <c r="M470" i="7"/>
  <c r="P470" i="7" s="1"/>
  <c r="O688" i="8"/>
  <c r="O68" i="8"/>
  <c r="P279" i="5"/>
  <c r="O43" i="6"/>
  <c r="P300" i="6"/>
  <c r="M469" i="7"/>
  <c r="P469" i="7" s="1"/>
  <c r="M389" i="8"/>
  <c r="P389" i="8" s="1"/>
  <c r="O279" i="8"/>
  <c r="L389" i="8"/>
  <c r="O389" i="8" s="1"/>
  <c r="P279" i="8"/>
  <c r="L30" i="8"/>
  <c r="L28" i="8" s="1"/>
  <c r="L31" i="8"/>
  <c r="O41" i="8"/>
  <c r="O347" i="5"/>
  <c r="M422" i="6"/>
  <c r="P422" i="6" s="1"/>
  <c r="L261" i="7"/>
  <c r="O261" i="7" s="1"/>
  <c r="L277" i="3"/>
  <c r="O277" i="3" s="1"/>
  <c r="P167" i="5"/>
  <c r="P424" i="6"/>
  <c r="O470" i="7"/>
  <c r="K364" i="8"/>
  <c r="O56" i="8"/>
  <c r="L261" i="8"/>
  <c r="O261" i="8" s="1"/>
  <c r="O263" i="8"/>
  <c r="M315" i="6"/>
  <c r="P315" i="6" s="1"/>
  <c r="O300" i="6"/>
  <c r="P280" i="8"/>
  <c r="O88" i="8"/>
  <c r="N181" i="8"/>
  <c r="O181" i="8" s="1"/>
  <c r="J594" i="1"/>
  <c r="K594" i="1" s="1"/>
  <c r="L655" i="5"/>
  <c r="O655" i="5" s="1"/>
  <c r="P88" i="6"/>
  <c r="P134" i="6"/>
  <c r="P43" i="8"/>
  <c r="P68" i="8"/>
  <c r="M66" i="8"/>
  <c r="P66" i="8" s="1"/>
  <c r="P68" i="6"/>
  <c r="O687" i="8"/>
  <c r="P263" i="8"/>
  <c r="M261" i="8"/>
  <c r="P261" i="8" s="1"/>
  <c r="N13" i="8"/>
  <c r="N20" i="8"/>
  <c r="N18" i="8" s="1"/>
  <c r="M16" i="8"/>
  <c r="P16" i="8" s="1"/>
  <c r="P26" i="8"/>
  <c r="M24" i="8"/>
  <c r="N21" i="8"/>
  <c r="P21" i="8" s="1"/>
  <c r="P547" i="8"/>
  <c r="L119" i="7"/>
  <c r="O119" i="7" s="1"/>
  <c r="K434" i="8"/>
  <c r="I418" i="8"/>
  <c r="K418" i="8" s="1"/>
  <c r="O525" i="8"/>
  <c r="L523" i="8"/>
  <c r="O523" i="8" s="1"/>
  <c r="P404" i="8"/>
  <c r="M402" i="8"/>
  <c r="P402" i="8" s="1"/>
  <c r="P44" i="8"/>
  <c r="L444" i="8"/>
  <c r="O444" i="8" s="1"/>
  <c r="N277" i="5"/>
  <c r="P277" i="5" s="1"/>
  <c r="K417" i="6"/>
  <c r="P300" i="5"/>
  <c r="L315" i="6"/>
  <c r="O315" i="6" s="1"/>
  <c r="P69" i="6"/>
  <c r="P685" i="8"/>
  <c r="P688" i="8"/>
  <c r="K248" i="8"/>
  <c r="I226" i="8"/>
  <c r="M132" i="8"/>
  <c r="P132" i="8" s="1"/>
  <c r="L227" i="8"/>
  <c r="O19" i="8"/>
  <c r="O55" i="8"/>
  <c r="L53" i="8"/>
  <c r="P419" i="8"/>
  <c r="N30" i="8"/>
  <c r="N31" i="8"/>
  <c r="N9" i="8"/>
  <c r="M298" i="8"/>
  <c r="P298" i="8" s="1"/>
  <c r="P300" i="8"/>
  <c r="M277" i="3"/>
  <c r="P277" i="3" s="1"/>
  <c r="L34" i="5"/>
  <c r="O34" i="5" s="1"/>
  <c r="O167" i="8"/>
  <c r="L165" i="8"/>
  <c r="O165" i="8" s="1"/>
  <c r="M20" i="8"/>
  <c r="P23" i="8"/>
  <c r="O90" i="8"/>
  <c r="O23" i="8"/>
  <c r="L13" i="8"/>
  <c r="L20" i="8"/>
  <c r="L523" i="6"/>
  <c r="O523" i="6" s="1"/>
  <c r="P15" i="8"/>
  <c r="I64" i="8"/>
  <c r="K64" i="8" s="1"/>
  <c r="K76" i="8"/>
  <c r="P330" i="8"/>
  <c r="M328" i="8"/>
  <c r="P328" i="8" s="1"/>
  <c r="P347" i="8"/>
  <c r="M345" i="8"/>
  <c r="P345" i="8" s="1"/>
  <c r="P545" i="8"/>
  <c r="M544" i="8"/>
  <c r="P544" i="8" s="1"/>
  <c r="P29" i="8"/>
  <c r="K77" i="5"/>
  <c r="P331" i="6"/>
  <c r="P165" i="7"/>
  <c r="M446" i="8"/>
  <c r="P449" i="8"/>
  <c r="M447" i="8"/>
  <c r="P447" i="8" s="1"/>
  <c r="M33" i="8"/>
  <c r="K559" i="8"/>
  <c r="I543" i="8"/>
  <c r="K543" i="8" s="1"/>
  <c r="K288" i="8"/>
  <c r="P90" i="8"/>
  <c r="K433" i="8"/>
  <c r="I417" i="8"/>
  <c r="K417" i="8" s="1"/>
  <c r="M657" i="8"/>
  <c r="P660" i="8"/>
  <c r="M658" i="8"/>
  <c r="P658" i="8" s="1"/>
  <c r="P183" i="8"/>
  <c r="M181" i="8"/>
  <c r="P12" i="8"/>
  <c r="M9" i="8"/>
  <c r="L21" i="8"/>
  <c r="M66" i="7"/>
  <c r="P66" i="7" s="1"/>
  <c r="L119" i="5"/>
  <c r="O119" i="5" s="1"/>
  <c r="M419" i="5"/>
  <c r="P419" i="5" s="1"/>
  <c r="O134" i="4"/>
  <c r="O151" i="6"/>
  <c r="N298" i="6"/>
  <c r="O298" i="6" s="1"/>
  <c r="P55" i="7"/>
  <c r="P56" i="7"/>
  <c r="L544" i="2"/>
  <c r="O544" i="2" s="1"/>
  <c r="L467" i="6"/>
  <c r="O467" i="6" s="1"/>
  <c r="P90" i="5"/>
  <c r="O26" i="7"/>
  <c r="O167" i="7"/>
  <c r="O631" i="4"/>
  <c r="L402" i="6"/>
  <c r="O402" i="6" s="1"/>
  <c r="M132" i="5"/>
  <c r="P132" i="5" s="1"/>
  <c r="M33" i="7"/>
  <c r="M13" i="7" s="1"/>
  <c r="M11" i="7" s="1"/>
  <c r="P331" i="7"/>
  <c r="P53" i="7"/>
  <c r="O165" i="6"/>
  <c r="M119" i="7"/>
  <c r="P119" i="7" s="1"/>
  <c r="O300" i="7"/>
  <c r="L298" i="7"/>
  <c r="O298" i="7" s="1"/>
  <c r="M631" i="7"/>
  <c r="M632" i="7"/>
  <c r="P632" i="7" s="1"/>
  <c r="O331" i="7"/>
  <c r="L31" i="7"/>
  <c r="O31" i="7" s="1"/>
  <c r="M149" i="7"/>
  <c r="P149" i="7" s="1"/>
  <c r="N345" i="7"/>
  <c r="P345" i="7" s="1"/>
  <c r="P347" i="7"/>
  <c r="O21" i="7"/>
  <c r="N20" i="4"/>
  <c r="N18" i="4" s="1"/>
  <c r="O90" i="6"/>
  <c r="P181" i="6"/>
  <c r="O446" i="7"/>
  <c r="L444" i="7"/>
  <c r="O444" i="7" s="1"/>
  <c r="O151" i="7"/>
  <c r="L149" i="7"/>
  <c r="O149" i="7" s="1"/>
  <c r="O90" i="7"/>
  <c r="O167" i="6"/>
  <c r="L345" i="7"/>
  <c r="P90" i="6"/>
  <c r="O66" i="6"/>
  <c r="L544" i="7"/>
  <c r="O544" i="7" s="1"/>
  <c r="P167" i="7"/>
  <c r="O88" i="7"/>
  <c r="N414" i="7"/>
  <c r="L402" i="5"/>
  <c r="O402" i="5" s="1"/>
  <c r="L419" i="6"/>
  <c r="O419" i="6" s="1"/>
  <c r="M298" i="6"/>
  <c r="M24" i="6"/>
  <c r="P24" i="6" s="1"/>
  <c r="L523" i="7"/>
  <c r="O523" i="7" s="1"/>
  <c r="K364" i="7"/>
  <c r="L132" i="7"/>
  <c r="O132" i="7" s="1"/>
  <c r="P134" i="7"/>
  <c r="M132" i="7"/>
  <c r="P132" i="7" s="1"/>
  <c r="N9" i="7"/>
  <c r="M277" i="7"/>
  <c r="P277" i="7" s="1"/>
  <c r="O165" i="7"/>
  <c r="K434" i="7"/>
  <c r="I418" i="7"/>
  <c r="K418" i="7" s="1"/>
  <c r="P300" i="7"/>
  <c r="M298" i="7"/>
  <c r="P298" i="7" s="1"/>
  <c r="N181" i="7"/>
  <c r="O181" i="7" s="1"/>
  <c r="O183" i="7"/>
  <c r="K559" i="7"/>
  <c r="I543" i="7"/>
  <c r="K543" i="7" s="1"/>
  <c r="P545" i="7"/>
  <c r="M544" i="7"/>
  <c r="P544" i="7" s="1"/>
  <c r="M328" i="7"/>
  <c r="P328" i="7" s="1"/>
  <c r="I131" i="7"/>
  <c r="K131" i="7" s="1"/>
  <c r="K143" i="7"/>
  <c r="L786" i="6"/>
  <c r="O786" i="6" s="1"/>
  <c r="I417" i="7"/>
  <c r="K417" i="7" s="1"/>
  <c r="K433" i="7"/>
  <c r="I65" i="7"/>
  <c r="K65" i="7" s="1"/>
  <c r="K77" i="7"/>
  <c r="M315" i="7"/>
  <c r="P315" i="7" s="1"/>
  <c r="L30" i="7"/>
  <c r="L34" i="7"/>
  <c r="O34" i="7" s="1"/>
  <c r="O36" i="7"/>
  <c r="P44" i="7"/>
  <c r="L16" i="7"/>
  <c r="P168" i="3"/>
  <c r="O351" i="5"/>
  <c r="O301" i="5"/>
  <c r="P183" i="5"/>
  <c r="O183" i="5"/>
  <c r="N20" i="7"/>
  <c r="N18" i="7" s="1"/>
  <c r="N13" i="7"/>
  <c r="P29" i="7"/>
  <c r="L328" i="7"/>
  <c r="O328" i="7" s="1"/>
  <c r="P151" i="2"/>
  <c r="M66" i="4"/>
  <c r="P66" i="4" s="1"/>
  <c r="O330" i="5"/>
  <c r="P91" i="6"/>
  <c r="O632" i="7"/>
  <c r="P183" i="7"/>
  <c r="N16" i="7"/>
  <c r="N14" i="7" s="1"/>
  <c r="N24" i="7"/>
  <c r="O24" i="7" s="1"/>
  <c r="O12" i="7"/>
  <c r="L9" i="7"/>
  <c r="L53" i="7"/>
  <c r="O53" i="7" s="1"/>
  <c r="O55" i="7"/>
  <c r="O23" i="7"/>
  <c r="L13" i="7"/>
  <c r="L11" i="7" s="1"/>
  <c r="L20" i="7"/>
  <c r="K164" i="7"/>
  <c r="P183" i="6"/>
  <c r="P404" i="7"/>
  <c r="M402" i="7"/>
  <c r="P402" i="7" s="1"/>
  <c r="M16" i="7"/>
  <c r="M24" i="7"/>
  <c r="P26" i="7"/>
  <c r="L227" i="7"/>
  <c r="O181" i="5"/>
  <c r="K237" i="7"/>
  <c r="I226" i="7"/>
  <c r="P23" i="7"/>
  <c r="M20" i="7"/>
  <c r="M21" i="7"/>
  <c r="P21" i="7" s="1"/>
  <c r="P12" i="7"/>
  <c r="M9" i="7"/>
  <c r="L149" i="5"/>
  <c r="O149" i="5" s="1"/>
  <c r="P55" i="5"/>
  <c r="O68" i="6"/>
  <c r="P56" i="6"/>
  <c r="N53" i="6"/>
  <c r="O53" i="6" s="1"/>
  <c r="P66" i="6"/>
  <c r="O687" i="5"/>
  <c r="L31" i="5"/>
  <c r="O31" i="5" s="1"/>
  <c r="N149" i="6"/>
  <c r="P149" i="6" s="1"/>
  <c r="O546" i="5"/>
  <c r="P318" i="5"/>
  <c r="K434" i="5"/>
  <c r="P330" i="5"/>
  <c r="O347" i="6"/>
  <c r="L345" i="6"/>
  <c r="O345" i="6" s="1"/>
  <c r="O36" i="6"/>
  <c r="L34" i="6"/>
  <c r="O34" i="6" s="1"/>
  <c r="N261" i="6"/>
  <c r="P261" i="6" s="1"/>
  <c r="L30" i="5"/>
  <c r="O30" i="5" s="1"/>
  <c r="O687" i="3"/>
  <c r="M447" i="5"/>
  <c r="P447" i="5" s="1"/>
  <c r="O23" i="5"/>
  <c r="O90" i="5"/>
  <c r="P391" i="6"/>
  <c r="M389" i="6"/>
  <c r="P389" i="6" s="1"/>
  <c r="O469" i="5"/>
  <c r="P449" i="5"/>
  <c r="M53" i="5"/>
  <c r="P53" i="5" s="1"/>
  <c r="L88" i="6"/>
  <c r="O88" i="6" s="1"/>
  <c r="O55" i="6"/>
  <c r="O134" i="6"/>
  <c r="L132" i="6"/>
  <c r="O132" i="6" s="1"/>
  <c r="P263" i="6"/>
  <c r="L389" i="1"/>
  <c r="O389" i="1" s="1"/>
  <c r="K785" i="1"/>
  <c r="P446" i="5"/>
  <c r="I64" i="5"/>
  <c r="K64" i="5" s="1"/>
  <c r="L328" i="6"/>
  <c r="O328" i="6" s="1"/>
  <c r="L523" i="2"/>
  <c r="O523" i="2" s="1"/>
  <c r="P151" i="4"/>
  <c r="M277" i="6"/>
  <c r="P277" i="6" s="1"/>
  <c r="P121" i="6"/>
  <c r="M119" i="6"/>
  <c r="P119" i="6" s="1"/>
  <c r="L30" i="6"/>
  <c r="P634" i="5"/>
  <c r="M389" i="5"/>
  <c r="P389" i="5" s="1"/>
  <c r="P472" i="6"/>
  <c r="M470" i="6"/>
  <c r="P470" i="6" s="1"/>
  <c r="M469" i="6"/>
  <c r="M33" i="6"/>
  <c r="M13" i="6" s="1"/>
  <c r="P419" i="6"/>
  <c r="L181" i="6"/>
  <c r="O181" i="6" s="1"/>
  <c r="M119" i="4"/>
  <c r="P119" i="4" s="1"/>
  <c r="P134" i="4"/>
  <c r="M631" i="5"/>
  <c r="P631" i="5" s="1"/>
  <c r="M298" i="5"/>
  <c r="P298" i="5" s="1"/>
  <c r="P549" i="6"/>
  <c r="M547" i="6"/>
  <c r="P547" i="6" s="1"/>
  <c r="M546" i="6"/>
  <c r="I131" i="6"/>
  <c r="K131" i="6" s="1"/>
  <c r="K143" i="6"/>
  <c r="P19" i="6"/>
  <c r="L389" i="4"/>
  <c r="O389" i="4" s="1"/>
  <c r="L13" i="5"/>
  <c r="L11" i="5" s="1"/>
  <c r="M66" i="5"/>
  <c r="P66" i="5" s="1"/>
  <c r="O55" i="5"/>
  <c r="K433" i="6"/>
  <c r="L119" i="6"/>
  <c r="O119" i="6" s="1"/>
  <c r="O121" i="6"/>
  <c r="K248" i="6"/>
  <c r="I226" i="6"/>
  <c r="N21" i="6"/>
  <c r="P21" i="6" s="1"/>
  <c r="N13" i="6"/>
  <c r="N20" i="6"/>
  <c r="N18" i="6" s="1"/>
  <c r="P15" i="6"/>
  <c r="M14" i="6"/>
  <c r="M9" i="6"/>
  <c r="I131" i="2"/>
  <c r="K131" i="2" s="1"/>
  <c r="P149" i="3"/>
  <c r="L227" i="6"/>
  <c r="O238" i="6"/>
  <c r="L41" i="6"/>
  <c r="O546" i="6"/>
  <c r="L544" i="6"/>
  <c r="O544" i="6" s="1"/>
  <c r="K76" i="6"/>
  <c r="I64" i="6"/>
  <c r="K64" i="6" s="1"/>
  <c r="P404" i="6"/>
  <c r="M402" i="6"/>
  <c r="P402" i="6" s="1"/>
  <c r="M20" i="6"/>
  <c r="P23" i="6"/>
  <c r="O19" i="6"/>
  <c r="K174" i="6"/>
  <c r="I164" i="6"/>
  <c r="K164" i="6" s="1"/>
  <c r="K365" i="4"/>
  <c r="N132" i="4"/>
  <c r="O132" i="4" s="1"/>
  <c r="O90" i="4"/>
  <c r="O317" i="5"/>
  <c r="P660" i="6"/>
  <c r="M658" i="6"/>
  <c r="P658" i="6" s="1"/>
  <c r="M657" i="6"/>
  <c r="P634" i="6"/>
  <c r="M632" i="6"/>
  <c r="P632" i="6" s="1"/>
  <c r="M631" i="6"/>
  <c r="K434" i="6"/>
  <c r="I418" i="6"/>
  <c r="K418" i="6" s="1"/>
  <c r="P347" i="6"/>
  <c r="M345" i="6"/>
  <c r="P345" i="6" s="1"/>
  <c r="P29" i="6"/>
  <c r="P167" i="6"/>
  <c r="M165" i="6"/>
  <c r="P165" i="6" s="1"/>
  <c r="O12" i="6"/>
  <c r="L9" i="6"/>
  <c r="L629" i="3"/>
  <c r="O629" i="3" s="1"/>
  <c r="K364" i="4"/>
  <c r="O88" i="4"/>
  <c r="O300" i="5"/>
  <c r="O26" i="6"/>
  <c r="L16" i="6"/>
  <c r="L24" i="6"/>
  <c r="O24" i="6" s="1"/>
  <c r="P43" i="6"/>
  <c r="M41" i="6"/>
  <c r="L20" i="6"/>
  <c r="L18" i="6" s="1"/>
  <c r="O23" i="6"/>
  <c r="L13" i="6"/>
  <c r="L11" i="6" s="1"/>
  <c r="L21" i="6"/>
  <c r="N16" i="6"/>
  <c r="N14" i="6" s="1"/>
  <c r="P26" i="6"/>
  <c r="O298" i="5"/>
  <c r="L629" i="6"/>
  <c r="O629" i="6" s="1"/>
  <c r="O631" i="6"/>
  <c r="L149" i="6"/>
  <c r="P330" i="6"/>
  <c r="M328" i="6"/>
  <c r="P328" i="6" s="1"/>
  <c r="O15" i="6"/>
  <c r="I543" i="4"/>
  <c r="K543" i="4" s="1"/>
  <c r="P347" i="5"/>
  <c r="O279" i="5"/>
  <c r="K365" i="5"/>
  <c r="L523" i="3"/>
  <c r="O523" i="3" s="1"/>
  <c r="O657" i="3"/>
  <c r="L786" i="4"/>
  <c r="O786" i="4" s="1"/>
  <c r="L467" i="3"/>
  <c r="O467" i="3" s="1"/>
  <c r="P351" i="4"/>
  <c r="P347" i="4"/>
  <c r="L419" i="5"/>
  <c r="O419" i="5" s="1"/>
  <c r="P330" i="4"/>
  <c r="O53" i="5"/>
  <c r="O331" i="3"/>
  <c r="O91" i="5"/>
  <c r="L444" i="5"/>
  <c r="O444" i="5" s="1"/>
  <c r="N345" i="5"/>
  <c r="P345" i="5" s="1"/>
  <c r="P447" i="2"/>
  <c r="L227" i="5"/>
  <c r="O263" i="5"/>
  <c r="P26" i="4"/>
  <c r="K65" i="1"/>
  <c r="K434" i="2"/>
  <c r="M345" i="4"/>
  <c r="P345" i="4" s="1"/>
  <c r="M88" i="4"/>
  <c r="P88" i="4" s="1"/>
  <c r="O184" i="4"/>
  <c r="O315" i="5"/>
  <c r="N88" i="5"/>
  <c r="P88" i="5" s="1"/>
  <c r="O121" i="3"/>
  <c r="O183" i="4"/>
  <c r="N13" i="4"/>
  <c r="N11" i="4" s="1"/>
  <c r="M16" i="5"/>
  <c r="P16" i="5" s="1"/>
  <c r="M181" i="5"/>
  <c r="P181" i="5" s="1"/>
  <c r="P91" i="5"/>
  <c r="M66" i="2"/>
  <c r="P66" i="2" s="1"/>
  <c r="N21" i="4"/>
  <c r="P21" i="4" s="1"/>
  <c r="L261" i="5"/>
  <c r="O261" i="5" s="1"/>
  <c r="O36" i="2"/>
  <c r="L419" i="3"/>
  <c r="O419" i="3" s="1"/>
  <c r="O330" i="4"/>
  <c r="P317" i="5"/>
  <c r="N14" i="5"/>
  <c r="O90" i="3"/>
  <c r="K288" i="5"/>
  <c r="L34" i="4"/>
  <c r="O34" i="4" s="1"/>
  <c r="K174" i="5"/>
  <c r="I164" i="5"/>
  <c r="K164" i="5" s="1"/>
  <c r="J522" i="5"/>
  <c r="K522" i="5" s="1"/>
  <c r="K537" i="5"/>
  <c r="L132" i="3"/>
  <c r="O132" i="3" s="1"/>
  <c r="M298" i="3"/>
  <c r="P298" i="3" s="1"/>
  <c r="M24" i="4"/>
  <c r="O470" i="5"/>
  <c r="P470" i="5"/>
  <c r="O525" i="5"/>
  <c r="K248" i="5"/>
  <c r="I226" i="5"/>
  <c r="P151" i="5"/>
  <c r="M149" i="5"/>
  <c r="P149" i="5" s="1"/>
  <c r="N24" i="5"/>
  <c r="P24" i="5" s="1"/>
  <c r="N9" i="5"/>
  <c r="O44" i="5"/>
  <c r="O444" i="2"/>
  <c r="P446" i="2"/>
  <c r="N328" i="5"/>
  <c r="O328" i="5" s="1"/>
  <c r="P263" i="5"/>
  <c r="M261" i="5"/>
  <c r="P261" i="5" s="1"/>
  <c r="K433" i="5"/>
  <c r="M20" i="5"/>
  <c r="M18" i="5" s="1"/>
  <c r="P23" i="5"/>
  <c r="L389" i="5"/>
  <c r="O389" i="5" s="1"/>
  <c r="O134" i="5"/>
  <c r="L132" i="5"/>
  <c r="O132" i="5" s="1"/>
  <c r="M657" i="2"/>
  <c r="P657" i="2" s="1"/>
  <c r="L165" i="3"/>
  <c r="O165" i="3" s="1"/>
  <c r="L629" i="5"/>
  <c r="O629" i="5" s="1"/>
  <c r="O631" i="5"/>
  <c r="P12" i="5"/>
  <c r="M9" i="5"/>
  <c r="K143" i="5"/>
  <c r="I131" i="5"/>
  <c r="K131" i="5" s="1"/>
  <c r="P660" i="2"/>
  <c r="K288" i="4"/>
  <c r="I543" i="5"/>
  <c r="K543" i="5" s="1"/>
  <c r="K559" i="5"/>
  <c r="K364" i="5"/>
  <c r="L66" i="5"/>
  <c r="O66" i="5" s="1"/>
  <c r="N414" i="5"/>
  <c r="P26" i="5"/>
  <c r="O9" i="5"/>
  <c r="O29" i="5"/>
  <c r="L88" i="3"/>
  <c r="O88" i="3" s="1"/>
  <c r="P121" i="5"/>
  <c r="M119" i="5"/>
  <c r="P119" i="5" s="1"/>
  <c r="N13" i="5"/>
  <c r="N20" i="5"/>
  <c r="N18" i="5" s="1"/>
  <c r="N21" i="5"/>
  <c r="O21" i="5" s="1"/>
  <c r="O26" i="5"/>
  <c r="L16" i="5"/>
  <c r="N688" i="1"/>
  <c r="O688" i="1" s="1"/>
  <c r="O446" i="2"/>
  <c r="L419" i="4"/>
  <c r="O419" i="4" s="1"/>
  <c r="P19" i="5"/>
  <c r="N41" i="5"/>
  <c r="P41" i="5" s="1"/>
  <c r="P43" i="5"/>
  <c r="L402" i="4"/>
  <c r="O402" i="4" s="1"/>
  <c r="M525" i="5"/>
  <c r="P528" i="5"/>
  <c r="M33" i="5"/>
  <c r="M526" i="5"/>
  <c r="P526" i="5" s="1"/>
  <c r="P404" i="5"/>
  <c r="M402" i="5"/>
  <c r="P402" i="5" s="1"/>
  <c r="L20" i="5"/>
  <c r="P29" i="5"/>
  <c r="O43" i="5"/>
  <c r="L41" i="5"/>
  <c r="M470" i="3"/>
  <c r="P470" i="3" s="1"/>
  <c r="O55" i="3"/>
  <c r="P184" i="4"/>
  <c r="O26" i="2"/>
  <c r="L402" i="2"/>
  <c r="O402" i="2" s="1"/>
  <c r="P264" i="3"/>
  <c r="M132" i="3"/>
  <c r="P132" i="3" s="1"/>
  <c r="O264" i="3"/>
  <c r="P165" i="4"/>
  <c r="O59" i="2"/>
  <c r="O165" i="2"/>
  <c r="P331" i="3"/>
  <c r="P183" i="4"/>
  <c r="O263" i="3"/>
  <c r="L328" i="4"/>
  <c r="O328" i="4" s="1"/>
  <c r="M658" i="4"/>
  <c r="P658" i="4" s="1"/>
  <c r="P660" i="4"/>
  <c r="M657" i="4"/>
  <c r="O183" i="2"/>
  <c r="P280" i="1"/>
  <c r="P55" i="3"/>
  <c r="M688" i="4"/>
  <c r="P688" i="4" s="1"/>
  <c r="O347" i="4"/>
  <c r="P59" i="3"/>
  <c r="K77" i="4"/>
  <c r="I65" i="4"/>
  <c r="K65" i="4" s="1"/>
  <c r="K364" i="2"/>
  <c r="P181" i="2"/>
  <c r="I543" i="3"/>
  <c r="K543" i="3" s="1"/>
  <c r="L544" i="4"/>
  <c r="O544" i="4" s="1"/>
  <c r="L16" i="4"/>
  <c r="P330" i="2"/>
  <c r="P347" i="3"/>
  <c r="P53" i="3"/>
  <c r="P90" i="3"/>
  <c r="O345" i="4"/>
  <c r="P690" i="4"/>
  <c r="O26" i="4"/>
  <c r="L786" i="3"/>
  <c r="O786" i="3" s="1"/>
  <c r="M16" i="4"/>
  <c r="M14" i="4" s="1"/>
  <c r="L523" i="4"/>
  <c r="O523" i="4" s="1"/>
  <c r="N16" i="4"/>
  <c r="N14" i="4" s="1"/>
  <c r="N24" i="4"/>
  <c r="O24" i="4" s="1"/>
  <c r="O56" i="2"/>
  <c r="N24" i="3"/>
  <c r="O24" i="3" s="1"/>
  <c r="M119" i="3"/>
  <c r="P119" i="3" s="1"/>
  <c r="M421" i="3"/>
  <c r="L467" i="4"/>
  <c r="O467" i="4" s="1"/>
  <c r="O279" i="4"/>
  <c r="L277" i="4"/>
  <c r="O277" i="4" s="1"/>
  <c r="P449" i="4"/>
  <c r="M447" i="4"/>
  <c r="P447" i="4" s="1"/>
  <c r="M446" i="4"/>
  <c r="O56" i="4"/>
  <c r="M315" i="4"/>
  <c r="P315" i="4" s="1"/>
  <c r="O263" i="4"/>
  <c r="L261" i="4"/>
  <c r="O261" i="4" s="1"/>
  <c r="K77" i="3"/>
  <c r="L66" i="4"/>
  <c r="O66" i="4" s="1"/>
  <c r="O68" i="4"/>
  <c r="M181" i="4"/>
  <c r="O12" i="4"/>
  <c r="L9" i="4"/>
  <c r="P546" i="4"/>
  <c r="M544" i="4"/>
  <c r="P544" i="4" s="1"/>
  <c r="I226" i="4"/>
  <c r="L467" i="2"/>
  <c r="O467" i="2" s="1"/>
  <c r="L227" i="3"/>
  <c r="L16" i="2"/>
  <c r="L14" i="2" s="1"/>
  <c r="K364" i="3"/>
  <c r="P300" i="4"/>
  <c r="M298" i="4"/>
  <c r="P298" i="4" s="1"/>
  <c r="O238" i="4"/>
  <c r="L227" i="4"/>
  <c r="L298" i="4"/>
  <c r="O298" i="4" s="1"/>
  <c r="O300" i="4"/>
  <c r="O446" i="4"/>
  <c r="L444" i="4"/>
  <c r="O444" i="4" s="1"/>
  <c r="O41" i="4"/>
  <c r="P261" i="4"/>
  <c r="K76" i="4"/>
  <c r="I64" i="4"/>
  <c r="K64" i="4" s="1"/>
  <c r="P279" i="4"/>
  <c r="M277" i="4"/>
  <c r="P277" i="4" s="1"/>
  <c r="M20" i="4"/>
  <c r="P23" i="4"/>
  <c r="L20" i="4"/>
  <c r="L13" i="4"/>
  <c r="O23" i="4"/>
  <c r="K433" i="4"/>
  <c r="N181" i="4"/>
  <c r="O181" i="4" s="1"/>
  <c r="O446" i="1"/>
  <c r="O91" i="3"/>
  <c r="M469" i="4"/>
  <c r="P472" i="4"/>
  <c r="M470" i="4"/>
  <c r="P470" i="4" s="1"/>
  <c r="P43" i="4"/>
  <c r="L149" i="4"/>
  <c r="O151" i="4"/>
  <c r="P12" i="4"/>
  <c r="M9" i="4"/>
  <c r="K417" i="4"/>
  <c r="O43" i="4"/>
  <c r="M132" i="4"/>
  <c r="N149" i="4"/>
  <c r="L402" i="1"/>
  <c r="O402" i="1" s="1"/>
  <c r="O209" i="1"/>
  <c r="M165" i="3"/>
  <c r="P165" i="3" s="1"/>
  <c r="K76" i="3"/>
  <c r="P328" i="4"/>
  <c r="L30" i="4"/>
  <c r="O33" i="4"/>
  <c r="L31" i="4"/>
  <c r="O31" i="4" s="1"/>
  <c r="P263" i="4"/>
  <c r="O53" i="4"/>
  <c r="P55" i="4"/>
  <c r="O55" i="4"/>
  <c r="P53" i="4"/>
  <c r="O167" i="4"/>
  <c r="L165" i="4"/>
  <c r="O165" i="4" s="1"/>
  <c r="P687" i="4"/>
  <c r="O687" i="4"/>
  <c r="O26" i="3"/>
  <c r="P167" i="4"/>
  <c r="M389" i="4"/>
  <c r="P389" i="4" s="1"/>
  <c r="P391" i="4"/>
  <c r="N9" i="4"/>
  <c r="P41" i="4"/>
  <c r="K669" i="1"/>
  <c r="P88" i="3"/>
  <c r="P424" i="3"/>
  <c r="N685" i="4"/>
  <c r="O685" i="4" s="1"/>
  <c r="P168" i="4"/>
  <c r="P404" i="4"/>
  <c r="M402" i="4"/>
  <c r="P402" i="4" s="1"/>
  <c r="L119" i="4"/>
  <c r="O119" i="4" s="1"/>
  <c r="O121" i="4"/>
  <c r="P547" i="4"/>
  <c r="K143" i="4"/>
  <c r="J131" i="4"/>
  <c r="K131" i="4" s="1"/>
  <c r="O317" i="4"/>
  <c r="L315" i="4"/>
  <c r="O315" i="4" s="1"/>
  <c r="P15" i="4"/>
  <c r="M421" i="4"/>
  <c r="P424" i="4"/>
  <c r="M422" i="4"/>
  <c r="P422" i="4" s="1"/>
  <c r="M33" i="4"/>
  <c r="I418" i="3"/>
  <c r="K418" i="3" s="1"/>
  <c r="M469" i="3"/>
  <c r="L53" i="3"/>
  <c r="O53" i="3" s="1"/>
  <c r="O43" i="3"/>
  <c r="O424" i="1"/>
  <c r="K226" i="1"/>
  <c r="K417" i="2"/>
  <c r="M132" i="2"/>
  <c r="P132" i="2" s="1"/>
  <c r="P43" i="2"/>
  <c r="P328" i="2"/>
  <c r="P330" i="3"/>
  <c r="M688" i="3"/>
  <c r="P688" i="3" s="1"/>
  <c r="P690" i="3"/>
  <c r="M389" i="2"/>
  <c r="P389" i="2" s="1"/>
  <c r="L119" i="2"/>
  <c r="O119" i="2" s="1"/>
  <c r="K275" i="2"/>
  <c r="P328" i="3"/>
  <c r="N422" i="1"/>
  <c r="O422" i="1" s="1"/>
  <c r="M30" i="1"/>
  <c r="M28" i="1" s="1"/>
  <c r="O300" i="2"/>
  <c r="O151" i="3"/>
  <c r="L149" i="3"/>
  <c r="O149" i="3" s="1"/>
  <c r="M66" i="3"/>
  <c r="P66" i="3" s="1"/>
  <c r="P68" i="3"/>
  <c r="M657" i="3"/>
  <c r="P660" i="3"/>
  <c r="O331" i="2"/>
  <c r="L30" i="2"/>
  <c r="L28" i="2" s="1"/>
  <c r="O151" i="2"/>
  <c r="L227" i="2"/>
  <c r="P347" i="1"/>
  <c r="K433" i="2"/>
  <c r="P298" i="2"/>
  <c r="O167" i="2"/>
  <c r="L389" i="3"/>
  <c r="O389" i="3" s="1"/>
  <c r="P44" i="1"/>
  <c r="P300" i="2"/>
  <c r="L132" i="2"/>
  <c r="O132" i="2" s="1"/>
  <c r="M402" i="3"/>
  <c r="P402" i="3" s="1"/>
  <c r="P404" i="3"/>
  <c r="P549" i="3"/>
  <c r="M547" i="3"/>
  <c r="P547" i="3" s="1"/>
  <c r="M546" i="3"/>
  <c r="M33" i="3"/>
  <c r="M13" i="3" s="1"/>
  <c r="O300" i="3"/>
  <c r="L298" i="3"/>
  <c r="O298" i="3" s="1"/>
  <c r="O181" i="3"/>
  <c r="P19" i="3"/>
  <c r="P183" i="3"/>
  <c r="M181" i="3"/>
  <c r="P181" i="3" s="1"/>
  <c r="L544" i="3"/>
  <c r="O544" i="3" s="1"/>
  <c r="O546" i="3"/>
  <c r="P43" i="3"/>
  <c r="N41" i="3"/>
  <c r="N37" i="3" s="1"/>
  <c r="P151" i="3"/>
  <c r="P15" i="3"/>
  <c r="I131" i="3"/>
  <c r="K131" i="3" s="1"/>
  <c r="K143" i="3"/>
  <c r="M315" i="3"/>
  <c r="P315" i="3" s="1"/>
  <c r="P317" i="3"/>
  <c r="O261" i="3"/>
  <c r="N685" i="3"/>
  <c r="O685" i="3" s="1"/>
  <c r="O404" i="3"/>
  <c r="L402" i="3"/>
  <c r="O402" i="3" s="1"/>
  <c r="M21" i="3"/>
  <c r="M20" i="3"/>
  <c r="P23" i="3"/>
  <c r="N227" i="3"/>
  <c r="O238" i="3"/>
  <c r="P29" i="3"/>
  <c r="P183" i="2"/>
  <c r="P687" i="3"/>
  <c r="M345" i="3"/>
  <c r="P345" i="3" s="1"/>
  <c r="N9" i="3"/>
  <c r="N31" i="3"/>
  <c r="P26" i="3"/>
  <c r="M24" i="3"/>
  <c r="M16" i="3"/>
  <c r="P16" i="3" s="1"/>
  <c r="M9" i="3"/>
  <c r="O55" i="2"/>
  <c r="K433" i="3"/>
  <c r="I417" i="3"/>
  <c r="K417" i="3" s="1"/>
  <c r="L30" i="3"/>
  <c r="L31" i="3"/>
  <c r="O33" i="3"/>
  <c r="K237" i="3"/>
  <c r="I226" i="3"/>
  <c r="O183" i="3"/>
  <c r="N526" i="1"/>
  <c r="P526" i="1" s="1"/>
  <c r="K112" i="1"/>
  <c r="M389" i="3"/>
  <c r="P389" i="3" s="1"/>
  <c r="P391" i="3"/>
  <c r="O347" i="3"/>
  <c r="L345" i="3"/>
  <c r="O345" i="3" s="1"/>
  <c r="N21" i="3"/>
  <c r="N13" i="3"/>
  <c r="N10" i="3" s="1"/>
  <c r="N20" i="3"/>
  <c r="N18" i="3" s="1"/>
  <c r="L41" i="3"/>
  <c r="O330" i="3"/>
  <c r="L328" i="3"/>
  <c r="O328" i="3" s="1"/>
  <c r="P263" i="3"/>
  <c r="M261" i="3"/>
  <c r="P261" i="3" s="1"/>
  <c r="L20" i="3"/>
  <c r="L21" i="3"/>
  <c r="O23" i="3"/>
  <c r="L13" i="3"/>
  <c r="O446" i="3"/>
  <c r="L444" i="3"/>
  <c r="O444" i="3" s="1"/>
  <c r="O528" i="1"/>
  <c r="O36" i="3"/>
  <c r="L34" i="3"/>
  <c r="O34" i="3" s="1"/>
  <c r="L16" i="3"/>
  <c r="L30" i="1"/>
  <c r="L28" i="1" s="1"/>
  <c r="K235" i="1"/>
  <c r="L227" i="1"/>
  <c r="M525" i="2"/>
  <c r="P525" i="2" s="1"/>
  <c r="L181" i="2"/>
  <c r="O181" i="2" s="1"/>
  <c r="L53" i="2"/>
  <c r="O53" i="2" s="1"/>
  <c r="M526" i="2"/>
  <c r="P526" i="2" s="1"/>
  <c r="P56" i="2"/>
  <c r="O184" i="2"/>
  <c r="P528" i="1"/>
  <c r="O217" i="1"/>
  <c r="O43" i="1"/>
  <c r="L34" i="1"/>
  <c r="O34" i="1" s="1"/>
  <c r="P660" i="1"/>
  <c r="P279" i="1"/>
  <c r="P264" i="1"/>
  <c r="P345" i="1"/>
  <c r="K236" i="1"/>
  <c r="I180" i="2"/>
  <c r="K180" i="2" s="1"/>
  <c r="O68" i="2"/>
  <c r="L66" i="2"/>
  <c r="O66" i="2" s="1"/>
  <c r="K364" i="1"/>
  <c r="L149" i="2"/>
  <c r="O149" i="2" s="1"/>
  <c r="P279" i="2"/>
  <c r="O279" i="2"/>
  <c r="O90" i="2"/>
  <c r="O277" i="2"/>
  <c r="M687" i="2"/>
  <c r="P690" i="2"/>
  <c r="M688" i="2"/>
  <c r="P688" i="2" s="1"/>
  <c r="P68" i="1"/>
  <c r="O526" i="2"/>
  <c r="P404" i="2"/>
  <c r="M402" i="2"/>
  <c r="P402" i="2" s="1"/>
  <c r="O687" i="2"/>
  <c r="L685" i="2"/>
  <c r="O685" i="2" s="1"/>
  <c r="O331" i="1"/>
  <c r="P690" i="1"/>
  <c r="O88" i="2"/>
  <c r="M119" i="2"/>
  <c r="P119" i="2" s="1"/>
  <c r="O690" i="1"/>
  <c r="O66" i="1"/>
  <c r="P277" i="2"/>
  <c r="O421" i="2"/>
  <c r="L419" i="2"/>
  <c r="P261" i="2"/>
  <c r="O261" i="2"/>
  <c r="I64" i="2"/>
  <c r="K64" i="2" s="1"/>
  <c r="K76" i="2"/>
  <c r="I65" i="2"/>
  <c r="K65" i="2" s="1"/>
  <c r="K77" i="2"/>
  <c r="P26" i="2"/>
  <c r="M16" i="2"/>
  <c r="M24" i="2"/>
  <c r="P421" i="1"/>
  <c r="O263" i="2"/>
  <c r="P317" i="2"/>
  <c r="K537" i="2"/>
  <c r="J522" i="2"/>
  <c r="K522" i="2" s="1"/>
  <c r="M315" i="2"/>
  <c r="P44" i="2"/>
  <c r="N414" i="2"/>
  <c r="P263" i="2"/>
  <c r="N20" i="2"/>
  <c r="N18" i="2" s="1"/>
  <c r="P23" i="2"/>
  <c r="N13" i="2"/>
  <c r="P424" i="1"/>
  <c r="P55" i="1"/>
  <c r="O688" i="2"/>
  <c r="M469" i="2"/>
  <c r="M470" i="2"/>
  <c r="P470" i="2" s="1"/>
  <c r="P472" i="2"/>
  <c r="L328" i="2"/>
  <c r="O328" i="2" s="1"/>
  <c r="O330" i="2"/>
  <c r="N315" i="2"/>
  <c r="O315" i="2" s="1"/>
  <c r="O447" i="2"/>
  <c r="O23" i="2"/>
  <c r="L13" i="2"/>
  <c r="L21" i="2"/>
  <c r="L20" i="2"/>
  <c r="P444" i="2"/>
  <c r="N24" i="2"/>
  <c r="O24" i="2" s="1"/>
  <c r="N16" i="2"/>
  <c r="N14" i="2" s="1"/>
  <c r="O298" i="2"/>
  <c r="M547" i="2"/>
  <c r="P547" i="2" s="1"/>
  <c r="P549" i="2"/>
  <c r="M546" i="2"/>
  <c r="P90" i="2"/>
  <c r="M88" i="2"/>
  <c r="P88" i="2" s="1"/>
  <c r="P300" i="1"/>
  <c r="O88" i="1"/>
  <c r="O238" i="1"/>
  <c r="K288" i="2"/>
  <c r="P264" i="2"/>
  <c r="P19" i="2"/>
  <c r="P449" i="1"/>
  <c r="M389" i="1"/>
  <c r="P389" i="1" s="1"/>
  <c r="O90" i="1"/>
  <c r="P347" i="2"/>
  <c r="M345" i="2"/>
  <c r="P345" i="2" s="1"/>
  <c r="P55" i="2"/>
  <c r="M53" i="2"/>
  <c r="P53" i="2" s="1"/>
  <c r="O43" i="2"/>
  <c r="L41" i="2"/>
  <c r="N9" i="2"/>
  <c r="N28" i="2"/>
  <c r="P9" i="2"/>
  <c r="J559" i="1"/>
  <c r="J543" i="1" s="1"/>
  <c r="K543" i="1" s="1"/>
  <c r="O421" i="1"/>
  <c r="O152" i="1"/>
  <c r="P90" i="1"/>
  <c r="K559" i="2"/>
  <c r="L655" i="2"/>
  <c r="O655" i="2" s="1"/>
  <c r="O657" i="2"/>
  <c r="M632" i="2"/>
  <c r="P632" i="2" s="1"/>
  <c r="P634" i="2"/>
  <c r="M631" i="2"/>
  <c r="M41" i="2"/>
  <c r="M20" i="2"/>
  <c r="N21" i="2"/>
  <c r="P21" i="2" s="1"/>
  <c r="L345" i="2"/>
  <c r="O345" i="2" s="1"/>
  <c r="O347" i="2"/>
  <c r="O391" i="2"/>
  <c r="L389" i="2"/>
  <c r="O389" i="2" s="1"/>
  <c r="K675" i="1"/>
  <c r="P549" i="1"/>
  <c r="O68" i="1"/>
  <c r="K64" i="1"/>
  <c r="M421" i="2"/>
  <c r="P424" i="2"/>
  <c r="M422" i="2"/>
  <c r="P422" i="2" s="1"/>
  <c r="M33" i="2"/>
  <c r="P167" i="2"/>
  <c r="M165" i="2"/>
  <c r="P165" i="2" s="1"/>
  <c r="P318" i="2"/>
  <c r="M149" i="2"/>
  <c r="P149" i="2" s="1"/>
  <c r="O549" i="1"/>
  <c r="P263" i="1"/>
  <c r="P183" i="1"/>
  <c r="K233" i="1"/>
  <c r="O198" i="1"/>
  <c r="O151" i="1"/>
  <c r="O44" i="1"/>
  <c r="N14" i="1"/>
  <c r="N546" i="1"/>
  <c r="O546" i="1" s="1"/>
  <c r="O657" i="1"/>
  <c r="N655" i="1"/>
  <c r="P655" i="1" s="1"/>
  <c r="P657" i="1"/>
  <c r="N658" i="1"/>
  <c r="O658" i="1" s="1"/>
  <c r="P167" i="1"/>
  <c r="P301" i="1"/>
  <c r="N41" i="1"/>
  <c r="O41" i="1" s="1"/>
  <c r="J593" i="1"/>
  <c r="K77" i="1"/>
  <c r="O660" i="1"/>
  <c r="O165" i="1"/>
  <c r="O264" i="1"/>
  <c r="P43" i="1"/>
  <c r="O167" i="1"/>
  <c r="P151" i="1"/>
  <c r="N24" i="1"/>
  <c r="L132" i="1"/>
  <c r="O132" i="1" s="1"/>
  <c r="O134" i="1"/>
  <c r="N444" i="1"/>
  <c r="P444" i="1" s="1"/>
  <c r="O330" i="1"/>
  <c r="M66" i="1"/>
  <c r="P66" i="1" s="1"/>
  <c r="N227" i="1"/>
  <c r="P446" i="1"/>
  <c r="P547" i="1"/>
  <c r="N447" i="1"/>
  <c r="O447" i="1" s="1"/>
  <c r="O449" i="1"/>
  <c r="P181" i="1"/>
  <c r="O55" i="1"/>
  <c r="L53" i="1"/>
  <c r="O53" i="1" s="1"/>
  <c r="L149" i="1"/>
  <c r="O318" i="1"/>
  <c r="N149" i="1"/>
  <c r="P149" i="1" s="1"/>
  <c r="P165" i="1"/>
  <c r="N328" i="1"/>
  <c r="O328" i="1" s="1"/>
  <c r="O249" i="1"/>
  <c r="P53" i="1"/>
  <c r="K76" i="1"/>
  <c r="P404" i="1"/>
  <c r="M402" i="1"/>
  <c r="P402" i="1" s="1"/>
  <c r="N788" i="1"/>
  <c r="N789" i="1"/>
  <c r="O789" i="1" s="1"/>
  <c r="O791" i="1"/>
  <c r="M414" i="1"/>
  <c r="P419" i="1"/>
  <c r="P23" i="1"/>
  <c r="M13" i="1"/>
  <c r="M11" i="1" s="1"/>
  <c r="M20" i="1"/>
  <c r="P15" i="1"/>
  <c r="I180" i="1"/>
  <c r="K180" i="1" s="1"/>
  <c r="N9" i="1"/>
  <c r="P12" i="1"/>
  <c r="M9" i="1"/>
  <c r="O547" i="1"/>
  <c r="P317" i="1"/>
  <c r="N315" i="1"/>
  <c r="O315" i="1" s="1"/>
  <c r="P331" i="1"/>
  <c r="N20" i="1"/>
  <c r="N18" i="1" s="1"/>
  <c r="P330" i="1"/>
  <c r="M328" i="1"/>
  <c r="M41" i="1"/>
  <c r="M277" i="1"/>
  <c r="P277" i="1" s="1"/>
  <c r="P152" i="1"/>
  <c r="O12" i="1"/>
  <c r="L9" i="1"/>
  <c r="N523" i="1"/>
  <c r="P523" i="1" s="1"/>
  <c r="P525" i="1"/>
  <c r="L345" i="1"/>
  <c r="O345" i="1" s="1"/>
  <c r="O347" i="1"/>
  <c r="L419" i="1"/>
  <c r="O183" i="1"/>
  <c r="L181" i="1"/>
  <c r="O181" i="1" s="1"/>
  <c r="O300" i="1"/>
  <c r="P26" i="1"/>
  <c r="M16" i="1"/>
  <c r="P16" i="1" s="1"/>
  <c r="O26" i="1"/>
  <c r="L16" i="1"/>
  <c r="L24" i="1"/>
  <c r="N685" i="1"/>
  <c r="O685" i="1" s="1"/>
  <c r="P687" i="1"/>
  <c r="O525" i="1"/>
  <c r="L523" i="1"/>
  <c r="O263" i="1"/>
  <c r="L261" i="1"/>
  <c r="O261" i="1" s="1"/>
  <c r="M88" i="1"/>
  <c r="P88" i="1" s="1"/>
  <c r="O23" i="1"/>
  <c r="L13" i="1"/>
  <c r="L11" i="1" s="1"/>
  <c r="L20" i="1"/>
  <c r="P134" i="1"/>
  <c r="M132" i="1"/>
  <c r="P132" i="1" s="1"/>
  <c r="M21" i="1"/>
  <c r="L119" i="1"/>
  <c r="O119" i="1" s="1"/>
  <c r="O121" i="1"/>
  <c r="N469" i="1"/>
  <c r="N470" i="1"/>
  <c r="O470" i="1" s="1"/>
  <c r="O472" i="1"/>
  <c r="N33" i="1"/>
  <c r="P318" i="1"/>
  <c r="P261" i="1"/>
  <c r="M298" i="1"/>
  <c r="P298" i="1" s="1"/>
  <c r="L298" i="1"/>
  <c r="O298" i="1" s="1"/>
  <c r="M24" i="1"/>
  <c r="N21" i="1"/>
  <c r="O21" i="1" s="1"/>
  <c r="O317" i="1"/>
  <c r="N631" i="1"/>
  <c r="N632" i="1"/>
  <c r="O632" i="1" s="1"/>
  <c r="O634" i="1"/>
  <c r="K434" i="1"/>
  <c r="I418" i="1"/>
  <c r="K418" i="1" s="1"/>
  <c r="P121" i="1"/>
  <c r="M119" i="1"/>
  <c r="P119" i="1" s="1"/>
  <c r="O279" i="1"/>
  <c r="L277" i="1"/>
  <c r="O277" i="1" s="1"/>
  <c r="I180" i="17" l="1"/>
  <c r="K180" i="17" s="1"/>
  <c r="O13" i="10"/>
  <c r="I180" i="10"/>
  <c r="K180" i="10" s="1"/>
  <c r="I180" i="19"/>
  <c r="K180" i="19" s="1"/>
  <c r="P655" i="22"/>
  <c r="P657" i="22"/>
  <c r="O30" i="22"/>
  <c r="O28" i="22"/>
  <c r="O18" i="20"/>
  <c r="O13" i="18"/>
  <c r="O31" i="22"/>
  <c r="L28" i="21"/>
  <c r="O28" i="21" s="1"/>
  <c r="M419" i="22"/>
  <c r="P419" i="22" s="1"/>
  <c r="O30" i="17"/>
  <c r="O13" i="21"/>
  <c r="P16" i="22"/>
  <c r="P149" i="21"/>
  <c r="O149" i="21"/>
  <c r="O16" i="19"/>
  <c r="I180" i="14"/>
  <c r="K180" i="14" s="1"/>
  <c r="M655" i="20"/>
  <c r="P655" i="20" s="1"/>
  <c r="P657" i="21"/>
  <c r="M655" i="21"/>
  <c r="P655" i="21" s="1"/>
  <c r="L10" i="20"/>
  <c r="L8" i="20" s="1"/>
  <c r="O13" i="20"/>
  <c r="O24" i="21"/>
  <c r="M37" i="22"/>
  <c r="P37" i="22" s="1"/>
  <c r="O24" i="22"/>
  <c r="P24" i="20"/>
  <c r="P20" i="22"/>
  <c r="P14" i="22"/>
  <c r="O66" i="22"/>
  <c r="L37" i="22"/>
  <c r="O37" i="22" s="1"/>
  <c r="M30" i="22"/>
  <c r="P33" i="22"/>
  <c r="M31" i="22"/>
  <c r="P31" i="22" s="1"/>
  <c r="M13" i="22"/>
  <c r="P18" i="22"/>
  <c r="O20" i="22"/>
  <c r="L18" i="22"/>
  <c r="O18" i="22" s="1"/>
  <c r="O444" i="22"/>
  <c r="L414" i="22"/>
  <c r="O414" i="22" s="1"/>
  <c r="P446" i="22"/>
  <c r="M444" i="22"/>
  <c r="P444" i="22" s="1"/>
  <c r="O16" i="22"/>
  <c r="L14" i="22"/>
  <c r="O14" i="22" s="1"/>
  <c r="O31" i="20"/>
  <c r="O21" i="22"/>
  <c r="N10" i="22"/>
  <c r="N8" i="22" s="1"/>
  <c r="N11" i="22"/>
  <c r="O11" i="22" s="1"/>
  <c r="O9" i="22"/>
  <c r="L10" i="22"/>
  <c r="L8" i="22" s="1"/>
  <c r="O13" i="22"/>
  <c r="P9" i="22"/>
  <c r="O20" i="20"/>
  <c r="O16" i="21"/>
  <c r="M419" i="18"/>
  <c r="P419" i="18" s="1"/>
  <c r="P14" i="21"/>
  <c r="P16" i="18"/>
  <c r="P16" i="21"/>
  <c r="N37" i="19"/>
  <c r="P21" i="21"/>
  <c r="O24" i="19"/>
  <c r="M37" i="21"/>
  <c r="P37" i="21" s="1"/>
  <c r="L414" i="21"/>
  <c r="O414" i="21" s="1"/>
  <c r="P14" i="18"/>
  <c r="K226" i="21"/>
  <c r="I180" i="21"/>
  <c r="K180" i="21" s="1"/>
  <c r="P687" i="21"/>
  <c r="M685" i="21"/>
  <c r="P685" i="21" s="1"/>
  <c r="P469" i="21"/>
  <c r="M467" i="21"/>
  <c r="P467" i="21" s="1"/>
  <c r="O24" i="17"/>
  <c r="M31" i="21"/>
  <c r="P31" i="21" s="1"/>
  <c r="P33" i="21"/>
  <c r="M30" i="21"/>
  <c r="P20" i="21"/>
  <c r="M18" i="21"/>
  <c r="P18" i="21" s="1"/>
  <c r="O53" i="21"/>
  <c r="L37" i="21"/>
  <c r="O37" i="21" s="1"/>
  <c r="M13" i="21"/>
  <c r="P446" i="21"/>
  <c r="M444" i="21"/>
  <c r="L14" i="21"/>
  <c r="O14" i="21" s="1"/>
  <c r="O9" i="21"/>
  <c r="P546" i="21"/>
  <c r="M544" i="21"/>
  <c r="P544" i="21" s="1"/>
  <c r="O18" i="21"/>
  <c r="N10" i="21"/>
  <c r="N8" i="21" s="1"/>
  <c r="N11" i="21"/>
  <c r="O11" i="21" s="1"/>
  <c r="L10" i="21"/>
  <c r="L8" i="21" s="1"/>
  <c r="O20" i="21"/>
  <c r="P21" i="20"/>
  <c r="L11" i="18"/>
  <c r="L414" i="20"/>
  <c r="O414" i="20" s="1"/>
  <c r="P16" i="17"/>
  <c r="P261" i="18"/>
  <c r="P31" i="20"/>
  <c r="P30" i="20"/>
  <c r="O16" i="20"/>
  <c r="L14" i="20"/>
  <c r="O41" i="20"/>
  <c r="L37" i="20"/>
  <c r="O37" i="20" s="1"/>
  <c r="L28" i="20"/>
  <c r="O28" i="20" s="1"/>
  <c r="K226" i="20"/>
  <c r="I180" i="20"/>
  <c r="K180" i="20" s="1"/>
  <c r="O24" i="20"/>
  <c r="N10" i="20"/>
  <c r="N8" i="20" s="1"/>
  <c r="N11" i="20"/>
  <c r="O11" i="20" s="1"/>
  <c r="P261" i="19"/>
  <c r="N11" i="18"/>
  <c r="M10" i="20"/>
  <c r="P13" i="20"/>
  <c r="M11" i="20"/>
  <c r="M37" i="20"/>
  <c r="P37" i="20" s="1"/>
  <c r="P20" i="20"/>
  <c r="M18" i="20"/>
  <c r="P18" i="20" s="1"/>
  <c r="P9" i="20"/>
  <c r="P16" i="20"/>
  <c r="N14" i="20"/>
  <c r="P14" i="20" s="1"/>
  <c r="K226" i="16"/>
  <c r="I180" i="16"/>
  <c r="K180" i="16" s="1"/>
  <c r="O328" i="18"/>
  <c r="M685" i="19"/>
  <c r="P685" i="19" s="1"/>
  <c r="P687" i="19"/>
  <c r="M14" i="19"/>
  <c r="P14" i="19" s="1"/>
  <c r="P16" i="19"/>
  <c r="P20" i="17"/>
  <c r="O444" i="19"/>
  <c r="L414" i="19"/>
  <c r="O414" i="19" s="1"/>
  <c r="P13" i="19"/>
  <c r="M10" i="19"/>
  <c r="M11" i="19"/>
  <c r="P469" i="19"/>
  <c r="M467" i="19"/>
  <c r="P467" i="19" s="1"/>
  <c r="P24" i="19"/>
  <c r="P24" i="15"/>
  <c r="O315" i="18"/>
  <c r="L37" i="19"/>
  <c r="O41" i="19"/>
  <c r="P546" i="19"/>
  <c r="M544" i="19"/>
  <c r="P544" i="19" s="1"/>
  <c r="O24" i="15"/>
  <c r="P41" i="19"/>
  <c r="M37" i="19"/>
  <c r="P20" i="19"/>
  <c r="M18" i="19"/>
  <c r="P18" i="19" s="1"/>
  <c r="N11" i="19"/>
  <c r="P657" i="19"/>
  <c r="M655" i="19"/>
  <c r="P655" i="19" s="1"/>
  <c r="P446" i="19"/>
  <c r="M444" i="19"/>
  <c r="N8" i="19"/>
  <c r="O20" i="19"/>
  <c r="L18" i="19"/>
  <c r="O18" i="19" s="1"/>
  <c r="O30" i="19"/>
  <c r="L28" i="19"/>
  <c r="O28" i="19" s="1"/>
  <c r="L10" i="19"/>
  <c r="O13" i="19"/>
  <c r="L11" i="19"/>
  <c r="P33" i="19"/>
  <c r="M30" i="19"/>
  <c r="M31" i="19"/>
  <c r="P31" i="19" s="1"/>
  <c r="P631" i="19"/>
  <c r="M629" i="19"/>
  <c r="P629" i="19" s="1"/>
  <c r="M419" i="17"/>
  <c r="P419" i="17" s="1"/>
  <c r="P421" i="17"/>
  <c r="M544" i="13"/>
  <c r="P544" i="13" s="1"/>
  <c r="O20" i="17"/>
  <c r="O20" i="18"/>
  <c r="O14" i="18"/>
  <c r="N8" i="18"/>
  <c r="M37" i="18"/>
  <c r="O41" i="18"/>
  <c r="L37" i="18"/>
  <c r="K226" i="18"/>
  <c r="I180" i="18"/>
  <c r="K180" i="18" s="1"/>
  <c r="N37" i="18"/>
  <c r="M544" i="18"/>
  <c r="P544" i="18" s="1"/>
  <c r="L414" i="18"/>
  <c r="O414" i="18" s="1"/>
  <c r="O419" i="18"/>
  <c r="O18" i="18"/>
  <c r="M11" i="18"/>
  <c r="P13" i="18"/>
  <c r="M10" i="18"/>
  <c r="P33" i="18"/>
  <c r="M30" i="18"/>
  <c r="M31" i="18"/>
  <c r="P31" i="18" s="1"/>
  <c r="N28" i="18"/>
  <c r="O30" i="18"/>
  <c r="O24" i="18"/>
  <c r="P631" i="18"/>
  <c r="M629" i="18"/>
  <c r="P629" i="18" s="1"/>
  <c r="P20" i="18"/>
  <c r="M18" i="18"/>
  <c r="P18" i="18" s="1"/>
  <c r="P525" i="18"/>
  <c r="M523" i="18"/>
  <c r="O28" i="18"/>
  <c r="O16" i="18"/>
  <c r="L10" i="18"/>
  <c r="O10" i="18" s="1"/>
  <c r="O9" i="18"/>
  <c r="K226" i="13"/>
  <c r="O30" i="9"/>
  <c r="M18" i="17"/>
  <c r="P18" i="17" s="1"/>
  <c r="O149" i="16"/>
  <c r="P446" i="17"/>
  <c r="O18" i="17"/>
  <c r="O16" i="17"/>
  <c r="L14" i="17"/>
  <c r="O14" i="17" s="1"/>
  <c r="L10" i="17"/>
  <c r="N28" i="17"/>
  <c r="O28" i="17" s="1"/>
  <c r="L414" i="17"/>
  <c r="O414" i="17" s="1"/>
  <c r="O9" i="17"/>
  <c r="O88" i="16"/>
  <c r="M37" i="17"/>
  <c r="P37" i="17" s="1"/>
  <c r="O444" i="17"/>
  <c r="M30" i="17"/>
  <c r="P33" i="17"/>
  <c r="M31" i="17"/>
  <c r="P31" i="17" s="1"/>
  <c r="L37" i="17"/>
  <c r="O37" i="17" s="1"/>
  <c r="N10" i="17"/>
  <c r="N8" i="17" s="1"/>
  <c r="N11" i="17"/>
  <c r="O13" i="17"/>
  <c r="P469" i="17"/>
  <c r="M467" i="17"/>
  <c r="P444" i="17"/>
  <c r="O30" i="13"/>
  <c r="O277" i="16"/>
  <c r="M13" i="17"/>
  <c r="O11" i="17"/>
  <c r="P9" i="17"/>
  <c r="P21" i="17"/>
  <c r="O181" i="16"/>
  <c r="P24" i="13"/>
  <c r="M31" i="12"/>
  <c r="P31" i="12" s="1"/>
  <c r="P687" i="16"/>
  <c r="M685" i="16"/>
  <c r="P685" i="16" s="1"/>
  <c r="O16" i="16"/>
  <c r="P20" i="16"/>
  <c r="P14" i="16"/>
  <c r="M419" i="13"/>
  <c r="P20" i="13"/>
  <c r="O21" i="16"/>
  <c r="P16" i="16"/>
  <c r="M18" i="16"/>
  <c r="P18" i="16" s="1"/>
  <c r="O9" i="16"/>
  <c r="M419" i="16"/>
  <c r="P421" i="16"/>
  <c r="N37" i="16"/>
  <c r="P149" i="16"/>
  <c r="P9" i="16"/>
  <c r="O13" i="16"/>
  <c r="L10" i="16"/>
  <c r="O444" i="16"/>
  <c r="L414" i="16"/>
  <c r="O414" i="16" s="1"/>
  <c r="P13" i="16"/>
  <c r="M10" i="16"/>
  <c r="L14" i="16"/>
  <c r="O14" i="16" s="1"/>
  <c r="L37" i="16"/>
  <c r="P41" i="16"/>
  <c r="M37" i="16"/>
  <c r="O20" i="16"/>
  <c r="L18" i="16"/>
  <c r="O18" i="16" s="1"/>
  <c r="O24" i="16"/>
  <c r="O30" i="16"/>
  <c r="L28" i="16"/>
  <c r="O28" i="16" s="1"/>
  <c r="N10" i="16"/>
  <c r="N8" i="16" s="1"/>
  <c r="N11" i="16"/>
  <c r="M11" i="16"/>
  <c r="L11" i="16"/>
  <c r="M30" i="16"/>
  <c r="P33" i="16"/>
  <c r="M31" i="16"/>
  <c r="P31" i="16" s="1"/>
  <c r="M30" i="12"/>
  <c r="P30" i="12" s="1"/>
  <c r="O24" i="14"/>
  <c r="M467" i="11"/>
  <c r="P467" i="11" s="1"/>
  <c r="P20" i="15"/>
  <c r="O53" i="14"/>
  <c r="N37" i="15"/>
  <c r="M18" i="15"/>
  <c r="P18" i="15" s="1"/>
  <c r="L414" i="15"/>
  <c r="O414" i="15" s="1"/>
  <c r="P13" i="15"/>
  <c r="M10" i="15"/>
  <c r="M8" i="15" s="1"/>
  <c r="M11" i="15"/>
  <c r="O328" i="15"/>
  <c r="M37" i="15"/>
  <c r="O132" i="12"/>
  <c r="N37" i="12"/>
  <c r="P20" i="14"/>
  <c r="N10" i="15"/>
  <c r="N8" i="15" s="1"/>
  <c r="N11" i="15"/>
  <c r="P41" i="15"/>
  <c r="P9" i="15"/>
  <c r="M629" i="15"/>
  <c r="P629" i="15" s="1"/>
  <c r="P631" i="15"/>
  <c r="L11" i="15"/>
  <c r="O13" i="15"/>
  <c r="L10" i="15"/>
  <c r="M14" i="15"/>
  <c r="P14" i="15" s="1"/>
  <c r="P16" i="15"/>
  <c r="P446" i="15"/>
  <c r="M444" i="15"/>
  <c r="P444" i="15" s="1"/>
  <c r="O345" i="15"/>
  <c r="P33" i="15"/>
  <c r="M30" i="15"/>
  <c r="M31" i="15"/>
  <c r="P31" i="15" s="1"/>
  <c r="K226" i="15"/>
  <c r="I180" i="15"/>
  <c r="K180" i="15" s="1"/>
  <c r="P546" i="15"/>
  <c r="M544" i="15"/>
  <c r="P544" i="15" s="1"/>
  <c r="O21" i="15"/>
  <c r="P421" i="15"/>
  <c r="M419" i="15"/>
  <c r="O20" i="15"/>
  <c r="L18" i="15"/>
  <c r="O18" i="15" s="1"/>
  <c r="O16" i="12"/>
  <c r="O30" i="15"/>
  <c r="L28" i="15"/>
  <c r="O28" i="15" s="1"/>
  <c r="O16" i="15"/>
  <c r="L14" i="15"/>
  <c r="O14" i="15" s="1"/>
  <c r="O41" i="15"/>
  <c r="L37" i="15"/>
  <c r="M13" i="11"/>
  <c r="P13" i="11" s="1"/>
  <c r="M18" i="14"/>
  <c r="P18" i="14" s="1"/>
  <c r="O14" i="9"/>
  <c r="P33" i="11"/>
  <c r="M655" i="14"/>
  <c r="P655" i="14" s="1"/>
  <c r="P657" i="14"/>
  <c r="M31" i="11"/>
  <c r="P31" i="11" s="1"/>
  <c r="P13" i="12"/>
  <c r="P469" i="14"/>
  <c r="M467" i="14"/>
  <c r="P467" i="14" s="1"/>
  <c r="L414" i="14"/>
  <c r="O414" i="14" s="1"/>
  <c r="O419" i="14"/>
  <c r="P33" i="14"/>
  <c r="M30" i="14"/>
  <c r="M31" i="14"/>
  <c r="P31" i="14" s="1"/>
  <c r="P16" i="14"/>
  <c r="M14" i="14"/>
  <c r="P14" i="14" s="1"/>
  <c r="O9" i="14"/>
  <c r="N37" i="14"/>
  <c r="O13" i="14"/>
  <c r="L10" i="14"/>
  <c r="L8" i="14" s="1"/>
  <c r="L11" i="14"/>
  <c r="O345" i="13"/>
  <c r="P165" i="14"/>
  <c r="O165" i="14"/>
  <c r="O20" i="14"/>
  <c r="L18" i="14"/>
  <c r="O18" i="14" s="1"/>
  <c r="P421" i="14"/>
  <c r="M419" i="14"/>
  <c r="P33" i="12"/>
  <c r="O30" i="14"/>
  <c r="L28" i="14"/>
  <c r="O28" i="14" s="1"/>
  <c r="P21" i="14"/>
  <c r="O261" i="14"/>
  <c r="N8" i="13"/>
  <c r="O16" i="14"/>
  <c r="L14" i="14"/>
  <c r="O14" i="14" s="1"/>
  <c r="P13" i="14"/>
  <c r="M10" i="14"/>
  <c r="M8" i="14" s="1"/>
  <c r="P9" i="14"/>
  <c r="L10" i="10"/>
  <c r="L8" i="10" s="1"/>
  <c r="N11" i="13"/>
  <c r="O11" i="13" s="1"/>
  <c r="L37" i="14"/>
  <c r="O37" i="14" s="1"/>
  <c r="P181" i="14"/>
  <c r="O181" i="14"/>
  <c r="N10" i="14"/>
  <c r="N8" i="14" s="1"/>
  <c r="N11" i="14"/>
  <c r="P11" i="14" s="1"/>
  <c r="M37" i="14"/>
  <c r="P41" i="14"/>
  <c r="M30" i="13"/>
  <c r="P33" i="13"/>
  <c r="M31" i="13"/>
  <c r="P31" i="13" s="1"/>
  <c r="N37" i="13"/>
  <c r="O328" i="13"/>
  <c r="O88" i="9"/>
  <c r="P16" i="12"/>
  <c r="M14" i="13"/>
  <c r="P14" i="13" s="1"/>
  <c r="L10" i="11"/>
  <c r="L8" i="11" s="1"/>
  <c r="P13" i="13"/>
  <c r="M10" i="13"/>
  <c r="P10" i="13" s="1"/>
  <c r="O13" i="13"/>
  <c r="L10" i="13"/>
  <c r="O10" i="13" s="1"/>
  <c r="P9" i="13"/>
  <c r="M37" i="13"/>
  <c r="L414" i="13"/>
  <c r="O414" i="13" s="1"/>
  <c r="O419" i="13"/>
  <c r="O21" i="10"/>
  <c r="M11" i="13"/>
  <c r="M18" i="13"/>
  <c r="P18" i="13" s="1"/>
  <c r="O9" i="13"/>
  <c r="L14" i="13"/>
  <c r="O14" i="13" s="1"/>
  <c r="L37" i="13"/>
  <c r="O20" i="13"/>
  <c r="L18" i="13"/>
  <c r="O18" i="13" s="1"/>
  <c r="O24" i="9"/>
  <c r="P21" i="10"/>
  <c r="N10" i="11"/>
  <c r="N8" i="11" s="1"/>
  <c r="O13" i="11"/>
  <c r="O11" i="11"/>
  <c r="M14" i="12"/>
  <c r="P14" i="12" s="1"/>
  <c r="M685" i="12"/>
  <c r="P685" i="12" s="1"/>
  <c r="P687" i="12"/>
  <c r="N10" i="12"/>
  <c r="N8" i="12" s="1"/>
  <c r="N11" i="12"/>
  <c r="P11" i="12" s="1"/>
  <c r="O20" i="12"/>
  <c r="L14" i="12"/>
  <c r="O14" i="12" s="1"/>
  <c r="O13" i="12"/>
  <c r="L10" i="12"/>
  <c r="L8" i="12" s="1"/>
  <c r="O18" i="12"/>
  <c r="P20" i="12"/>
  <c r="M18" i="12"/>
  <c r="P18" i="12" s="1"/>
  <c r="L28" i="10"/>
  <c r="O28" i="10" s="1"/>
  <c r="P9" i="12"/>
  <c r="P419" i="12"/>
  <c r="O21" i="12"/>
  <c r="L37" i="12"/>
  <c r="O30" i="12"/>
  <c r="L28" i="12"/>
  <c r="O28" i="12" s="1"/>
  <c r="L11" i="12"/>
  <c r="L414" i="12"/>
  <c r="O414" i="12" s="1"/>
  <c r="M10" i="12"/>
  <c r="O9" i="12"/>
  <c r="P41" i="12"/>
  <c r="M37" i="12"/>
  <c r="O18" i="10"/>
  <c r="O328" i="10"/>
  <c r="N8" i="10"/>
  <c r="P24" i="10"/>
  <c r="O24" i="10"/>
  <c r="O20" i="11"/>
  <c r="O14" i="8"/>
  <c r="M14" i="11"/>
  <c r="P14" i="11" s="1"/>
  <c r="L414" i="11"/>
  <c r="O414" i="11" s="1"/>
  <c r="M544" i="11"/>
  <c r="P544" i="11" s="1"/>
  <c r="P546" i="11"/>
  <c r="O41" i="7"/>
  <c r="P24" i="11"/>
  <c r="O20" i="10"/>
  <c r="N37" i="11"/>
  <c r="P53" i="10"/>
  <c r="M37" i="11"/>
  <c r="P41" i="11"/>
  <c r="P20" i="11"/>
  <c r="M18" i="11"/>
  <c r="P18" i="11" s="1"/>
  <c r="P181" i="11"/>
  <c r="P631" i="11"/>
  <c r="M629" i="11"/>
  <c r="P629" i="11" s="1"/>
  <c r="O11" i="10"/>
  <c r="O16" i="11"/>
  <c r="L14" i="11"/>
  <c r="O14" i="11" s="1"/>
  <c r="K226" i="11"/>
  <c r="I180" i="11"/>
  <c r="K180" i="11" s="1"/>
  <c r="O9" i="11"/>
  <c r="P30" i="11"/>
  <c r="M28" i="11"/>
  <c r="P28" i="11" s="1"/>
  <c r="L28" i="11"/>
  <c r="O28" i="11" s="1"/>
  <c r="N37" i="8"/>
  <c r="O18" i="11"/>
  <c r="O41" i="11"/>
  <c r="L37" i="11"/>
  <c r="P421" i="9"/>
  <c r="O345" i="7"/>
  <c r="P24" i="9"/>
  <c r="M30" i="10"/>
  <c r="M31" i="10"/>
  <c r="P31" i="10" s="1"/>
  <c r="P33" i="10"/>
  <c r="M13" i="10"/>
  <c r="M11" i="10" s="1"/>
  <c r="P11" i="10" s="1"/>
  <c r="M444" i="10"/>
  <c r="P446" i="10"/>
  <c r="N37" i="10"/>
  <c r="P687" i="10"/>
  <c r="M685" i="10"/>
  <c r="P685" i="10" s="1"/>
  <c r="P546" i="10"/>
  <c r="M544" i="10"/>
  <c r="P544" i="10" s="1"/>
  <c r="P20" i="10"/>
  <c r="M18" i="10"/>
  <c r="P18" i="10" s="1"/>
  <c r="O419" i="10"/>
  <c r="L414" i="10"/>
  <c r="O414" i="10" s="1"/>
  <c r="O277" i="5"/>
  <c r="M14" i="10"/>
  <c r="P14" i="10" s="1"/>
  <c r="O16" i="10"/>
  <c r="L14" i="10"/>
  <c r="O14" i="10" s="1"/>
  <c r="M37" i="10"/>
  <c r="L37" i="10"/>
  <c r="P9" i="10"/>
  <c r="O31" i="8"/>
  <c r="O16" i="9"/>
  <c r="M31" i="9"/>
  <c r="P31" i="9" s="1"/>
  <c r="P33" i="9"/>
  <c r="M30" i="9"/>
  <c r="P24" i="8"/>
  <c r="P688" i="1"/>
  <c r="P165" i="9"/>
  <c r="O16" i="8"/>
  <c r="P21" i="9"/>
  <c r="L37" i="9"/>
  <c r="P414" i="9"/>
  <c r="N37" i="9"/>
  <c r="P9" i="9"/>
  <c r="N414" i="9"/>
  <c r="O419" i="9"/>
  <c r="O20" i="9"/>
  <c r="L18" i="9"/>
  <c r="O18" i="9" s="1"/>
  <c r="P14" i="9"/>
  <c r="K226" i="9"/>
  <c r="I180" i="9"/>
  <c r="K180" i="9" s="1"/>
  <c r="L414" i="9"/>
  <c r="N10" i="9"/>
  <c r="N8" i="9" s="1"/>
  <c r="N11" i="9"/>
  <c r="M467" i="7"/>
  <c r="P467" i="7" s="1"/>
  <c r="P16" i="9"/>
  <c r="P41" i="9"/>
  <c r="M37" i="9"/>
  <c r="P20" i="9"/>
  <c r="M18" i="9"/>
  <c r="P18" i="9" s="1"/>
  <c r="O28" i="9"/>
  <c r="P419" i="9"/>
  <c r="M10" i="9"/>
  <c r="P13" i="9"/>
  <c r="M11" i="9"/>
  <c r="L10" i="9"/>
  <c r="O13" i="9"/>
  <c r="L11" i="9"/>
  <c r="P181" i="8"/>
  <c r="O20" i="8"/>
  <c r="P181" i="7"/>
  <c r="O149" i="6"/>
  <c r="O18" i="6"/>
  <c r="M14" i="8"/>
  <c r="P14" i="8" s="1"/>
  <c r="N10" i="7"/>
  <c r="N8" i="7" s="1"/>
  <c r="L414" i="8"/>
  <c r="O414" i="8" s="1"/>
  <c r="P20" i="8"/>
  <c r="M18" i="8"/>
  <c r="P18" i="8" s="1"/>
  <c r="N10" i="8"/>
  <c r="N8" i="8" s="1"/>
  <c r="N11" i="8"/>
  <c r="O21" i="8"/>
  <c r="P657" i="8"/>
  <c r="M655" i="8"/>
  <c r="P655" i="8" s="1"/>
  <c r="P9" i="8"/>
  <c r="K226" i="8"/>
  <c r="I180" i="8"/>
  <c r="K180" i="8" s="1"/>
  <c r="M30" i="8"/>
  <c r="P33" i="8"/>
  <c r="M31" i="8"/>
  <c r="P31" i="8" s="1"/>
  <c r="O13" i="8"/>
  <c r="L10" i="8"/>
  <c r="L11" i="8"/>
  <c r="O53" i="8"/>
  <c r="L37" i="8"/>
  <c r="P132" i="4"/>
  <c r="M37" i="8"/>
  <c r="P446" i="8"/>
  <c r="M444" i="8"/>
  <c r="M13" i="8"/>
  <c r="N28" i="8"/>
  <c r="O28" i="8" s="1"/>
  <c r="O30" i="8"/>
  <c r="L18" i="8"/>
  <c r="O18" i="8" s="1"/>
  <c r="P298" i="6"/>
  <c r="P33" i="7"/>
  <c r="M31" i="7"/>
  <c r="P31" i="7" s="1"/>
  <c r="M30" i="7"/>
  <c r="N37" i="6"/>
  <c r="M37" i="7"/>
  <c r="P24" i="7"/>
  <c r="M629" i="7"/>
  <c r="P629" i="7" s="1"/>
  <c r="P631" i="7"/>
  <c r="P53" i="6"/>
  <c r="O20" i="7"/>
  <c r="L18" i="7"/>
  <c r="O18" i="7" s="1"/>
  <c r="L414" i="7"/>
  <c r="O414" i="7" s="1"/>
  <c r="N11" i="7"/>
  <c r="O11" i="7" s="1"/>
  <c r="L10" i="7"/>
  <c r="O13" i="7"/>
  <c r="P20" i="7"/>
  <c r="M18" i="7"/>
  <c r="P18" i="7" s="1"/>
  <c r="O30" i="7"/>
  <c r="L28" i="7"/>
  <c r="O28" i="7" s="1"/>
  <c r="L10" i="5"/>
  <c r="L8" i="5" s="1"/>
  <c r="L28" i="5"/>
  <c r="O28" i="5" s="1"/>
  <c r="M10" i="7"/>
  <c r="P13" i="7"/>
  <c r="K226" i="7"/>
  <c r="I180" i="7"/>
  <c r="K180" i="7" s="1"/>
  <c r="L37" i="7"/>
  <c r="N37" i="7"/>
  <c r="P9" i="7"/>
  <c r="O16" i="7"/>
  <c r="L14" i="7"/>
  <c r="O14" i="7" s="1"/>
  <c r="O24" i="5"/>
  <c r="O13" i="5"/>
  <c r="P16" i="7"/>
  <c r="M14" i="7"/>
  <c r="P14" i="7" s="1"/>
  <c r="O9" i="7"/>
  <c r="L414" i="6"/>
  <c r="O414" i="6" s="1"/>
  <c r="P18" i="5"/>
  <c r="O21" i="6"/>
  <c r="O345" i="5"/>
  <c r="L28" i="6"/>
  <c r="O28" i="6" s="1"/>
  <c r="O30" i="6"/>
  <c r="O261" i="6"/>
  <c r="M629" i="5"/>
  <c r="P629" i="5" s="1"/>
  <c r="O41" i="6"/>
  <c r="L37" i="6"/>
  <c r="O16" i="6"/>
  <c r="P20" i="6"/>
  <c r="N10" i="6"/>
  <c r="N8" i="6" s="1"/>
  <c r="N11" i="6"/>
  <c r="O11" i="6" s="1"/>
  <c r="P33" i="6"/>
  <c r="M30" i="6"/>
  <c r="M31" i="6"/>
  <c r="P31" i="6" s="1"/>
  <c r="M467" i="6"/>
  <c r="P469" i="6"/>
  <c r="O13" i="6"/>
  <c r="L10" i="6"/>
  <c r="P546" i="6"/>
  <c r="M544" i="6"/>
  <c r="P544" i="6" s="1"/>
  <c r="P328" i="5"/>
  <c r="O9" i="6"/>
  <c r="K226" i="6"/>
  <c r="I180" i="6"/>
  <c r="K180" i="6" s="1"/>
  <c r="O21" i="4"/>
  <c r="O20" i="6"/>
  <c r="P9" i="6"/>
  <c r="P657" i="6"/>
  <c r="M655" i="6"/>
  <c r="P655" i="6" s="1"/>
  <c r="P16" i="6"/>
  <c r="M37" i="6"/>
  <c r="P41" i="6"/>
  <c r="P14" i="6"/>
  <c r="O28" i="2"/>
  <c r="L14" i="6"/>
  <c r="O14" i="6" s="1"/>
  <c r="P631" i="6"/>
  <c r="M629" i="6"/>
  <c r="P629" i="6" s="1"/>
  <c r="M11" i="6"/>
  <c r="P13" i="6"/>
  <c r="M10" i="6"/>
  <c r="M8" i="6" s="1"/>
  <c r="M18" i="6"/>
  <c r="P18" i="6" s="1"/>
  <c r="O14" i="2"/>
  <c r="O88" i="5"/>
  <c r="L414" i="5"/>
  <c r="O414" i="5" s="1"/>
  <c r="O526" i="1"/>
  <c r="M14" i="5"/>
  <c r="P14" i="5" s="1"/>
  <c r="M655" i="2"/>
  <c r="P655" i="2" s="1"/>
  <c r="O20" i="5"/>
  <c r="L18" i="5"/>
  <c r="O18" i="5" s="1"/>
  <c r="N37" i="5"/>
  <c r="N10" i="5"/>
  <c r="N8" i="5" s="1"/>
  <c r="N11" i="5"/>
  <c r="O11" i="5" s="1"/>
  <c r="K226" i="5"/>
  <c r="I180" i="5"/>
  <c r="K180" i="5" s="1"/>
  <c r="O41" i="5"/>
  <c r="L37" i="5"/>
  <c r="P33" i="5"/>
  <c r="M30" i="5"/>
  <c r="M31" i="5"/>
  <c r="P31" i="5" s="1"/>
  <c r="P21" i="5"/>
  <c r="P9" i="5"/>
  <c r="M13" i="5"/>
  <c r="P525" i="5"/>
  <c r="M523" i="5"/>
  <c r="M37" i="5"/>
  <c r="O16" i="5"/>
  <c r="L14" i="5"/>
  <c r="O14" i="5" s="1"/>
  <c r="P20" i="5"/>
  <c r="P14" i="4"/>
  <c r="N10" i="4"/>
  <c r="N8" i="4" s="1"/>
  <c r="P24" i="3"/>
  <c r="O16" i="4"/>
  <c r="L14" i="4"/>
  <c r="O14" i="4" s="1"/>
  <c r="P657" i="4"/>
  <c r="M655" i="4"/>
  <c r="P655" i="4" s="1"/>
  <c r="P24" i="4"/>
  <c r="P16" i="4"/>
  <c r="N37" i="4"/>
  <c r="P422" i="1"/>
  <c r="K559" i="1"/>
  <c r="P20" i="3"/>
  <c r="L414" i="4"/>
  <c r="P33" i="4"/>
  <c r="M31" i="4"/>
  <c r="P31" i="4" s="1"/>
  <c r="M30" i="4"/>
  <c r="O13" i="4"/>
  <c r="L10" i="4"/>
  <c r="L8" i="4" s="1"/>
  <c r="L11" i="4"/>
  <c r="O11" i="4" s="1"/>
  <c r="P446" i="4"/>
  <c r="M444" i="4"/>
  <c r="P444" i="4" s="1"/>
  <c r="O20" i="4"/>
  <c r="L18" i="4"/>
  <c r="O18" i="4" s="1"/>
  <c r="P181" i="4"/>
  <c r="O30" i="4"/>
  <c r="L28" i="4"/>
  <c r="O28" i="4" s="1"/>
  <c r="O149" i="4"/>
  <c r="L37" i="4"/>
  <c r="N414" i="4"/>
  <c r="P421" i="4"/>
  <c r="M419" i="4"/>
  <c r="P685" i="4"/>
  <c r="M13" i="4"/>
  <c r="K226" i="4"/>
  <c r="I180" i="4"/>
  <c r="K180" i="4" s="1"/>
  <c r="P20" i="4"/>
  <c r="M18" i="4"/>
  <c r="P18" i="4" s="1"/>
  <c r="P149" i="4"/>
  <c r="P20" i="2"/>
  <c r="M37" i="4"/>
  <c r="P9" i="4"/>
  <c r="P469" i="4"/>
  <c r="M467" i="4"/>
  <c r="P467" i="4" s="1"/>
  <c r="O9" i="4"/>
  <c r="P421" i="3"/>
  <c r="M419" i="3"/>
  <c r="P419" i="3" s="1"/>
  <c r="M37" i="3"/>
  <c r="P37" i="3" s="1"/>
  <c r="P469" i="3"/>
  <c r="M467" i="3"/>
  <c r="P467" i="3" s="1"/>
  <c r="O21" i="3"/>
  <c r="O30" i="2"/>
  <c r="P657" i="3"/>
  <c r="M655" i="3"/>
  <c r="P655" i="3" s="1"/>
  <c r="P21" i="3"/>
  <c r="O24" i="1"/>
  <c r="O16" i="3"/>
  <c r="L14" i="3"/>
  <c r="O14" i="3" s="1"/>
  <c r="L11" i="3"/>
  <c r="O13" i="3"/>
  <c r="L10" i="3"/>
  <c r="P9" i="3"/>
  <c r="N8" i="3"/>
  <c r="O31" i="3"/>
  <c r="M14" i="3"/>
  <c r="P14" i="3" s="1"/>
  <c r="P685" i="3"/>
  <c r="O41" i="3"/>
  <c r="L37" i="3"/>
  <c r="O37" i="3" s="1"/>
  <c r="O30" i="3"/>
  <c r="L28" i="3"/>
  <c r="O28" i="3" s="1"/>
  <c r="L18" i="3"/>
  <c r="O18" i="3" s="1"/>
  <c r="O20" i="3"/>
  <c r="L414" i="3"/>
  <c r="O414" i="3" s="1"/>
  <c r="M30" i="3"/>
  <c r="P33" i="3"/>
  <c r="M31" i="3"/>
  <c r="P31" i="3" s="1"/>
  <c r="P13" i="3"/>
  <c r="M10" i="3"/>
  <c r="P10" i="3" s="1"/>
  <c r="M11" i="3"/>
  <c r="P546" i="3"/>
  <c r="M544" i="3"/>
  <c r="M18" i="3"/>
  <c r="P18" i="3" s="1"/>
  <c r="K226" i="3"/>
  <c r="I180" i="3"/>
  <c r="K180" i="3" s="1"/>
  <c r="P41" i="3"/>
  <c r="N11" i="3"/>
  <c r="N414" i="3"/>
  <c r="M523" i="2"/>
  <c r="P523" i="2" s="1"/>
  <c r="O655" i="1"/>
  <c r="N10" i="2"/>
  <c r="N8" i="2" s="1"/>
  <c r="O523" i="1"/>
  <c r="P328" i="1"/>
  <c r="P687" i="2"/>
  <c r="M685" i="2"/>
  <c r="P685" i="2" s="1"/>
  <c r="M18" i="2"/>
  <c r="P18" i="2" s="1"/>
  <c r="N37" i="2"/>
  <c r="P315" i="2"/>
  <c r="O16" i="2"/>
  <c r="M30" i="2"/>
  <c r="P33" i="2"/>
  <c r="M13" i="2"/>
  <c r="M31" i="2"/>
  <c r="P31" i="2" s="1"/>
  <c r="O20" i="2"/>
  <c r="L18" i="2"/>
  <c r="O18" i="2" s="1"/>
  <c r="P24" i="2"/>
  <c r="M37" i="2"/>
  <c r="P41" i="2"/>
  <c r="P546" i="2"/>
  <c r="M544" i="2"/>
  <c r="P544" i="2" s="1"/>
  <c r="O21" i="2"/>
  <c r="P16" i="2"/>
  <c r="M14" i="2"/>
  <c r="P14" i="2" s="1"/>
  <c r="O419" i="2"/>
  <c r="L414" i="2"/>
  <c r="O414" i="2" s="1"/>
  <c r="P631" i="2"/>
  <c r="M629" i="2"/>
  <c r="P629" i="2" s="1"/>
  <c r="N11" i="2"/>
  <c r="L10" i="2"/>
  <c r="O13" i="2"/>
  <c r="L11" i="2"/>
  <c r="P421" i="2"/>
  <c r="M419" i="2"/>
  <c r="L37" i="2"/>
  <c r="O41" i="2"/>
  <c r="M467" i="2"/>
  <c r="P467" i="2" s="1"/>
  <c r="P469" i="2"/>
  <c r="P24" i="1"/>
  <c r="O444" i="1"/>
  <c r="N544" i="1"/>
  <c r="P546" i="1"/>
  <c r="J592" i="1"/>
  <c r="K592" i="1" s="1"/>
  <c r="K593" i="1"/>
  <c r="P658" i="1"/>
  <c r="P447" i="1"/>
  <c r="O149" i="1"/>
  <c r="P21" i="1"/>
  <c r="P315" i="1"/>
  <c r="N37" i="1"/>
  <c r="M14" i="1"/>
  <c r="P14" i="1" s="1"/>
  <c r="O631" i="1"/>
  <c r="P631" i="1"/>
  <c r="N629" i="1"/>
  <c r="L37" i="1"/>
  <c r="P41" i="1"/>
  <c r="M37" i="1"/>
  <c r="N786" i="1"/>
  <c r="O788" i="1"/>
  <c r="P788" i="1"/>
  <c r="P9" i="1"/>
  <c r="P685" i="1"/>
  <c r="P789" i="1"/>
  <c r="O469" i="1"/>
  <c r="N467" i="1"/>
  <c r="P469" i="1"/>
  <c r="O20" i="1"/>
  <c r="L18" i="1"/>
  <c r="O18" i="1" s="1"/>
  <c r="P20" i="1"/>
  <c r="M18" i="1"/>
  <c r="P18" i="1" s="1"/>
  <c r="P470" i="1"/>
  <c r="L10" i="1"/>
  <c r="L8" i="1" s="1"/>
  <c r="L414" i="1"/>
  <c r="O419" i="1"/>
  <c r="M10" i="1"/>
  <c r="O16" i="1"/>
  <c r="L14" i="1"/>
  <c r="O14" i="1" s="1"/>
  <c r="P632" i="1"/>
  <c r="O9" i="1"/>
  <c r="N31" i="1"/>
  <c r="P33" i="1"/>
  <c r="N30" i="1"/>
  <c r="O33" i="1"/>
  <c r="N13" i="1"/>
  <c r="O10" i="6" l="1"/>
  <c r="O8" i="20"/>
  <c r="P37" i="19"/>
  <c r="O37" i="19"/>
  <c r="O8" i="21"/>
  <c r="M414" i="20"/>
  <c r="P414" i="20" s="1"/>
  <c r="O10" i="22"/>
  <c r="P13" i="22"/>
  <c r="M10" i="22"/>
  <c r="M11" i="22"/>
  <c r="P11" i="22" s="1"/>
  <c r="M414" i="22"/>
  <c r="P414" i="22" s="1"/>
  <c r="O8" i="22"/>
  <c r="P30" i="22"/>
  <c r="M28" i="22"/>
  <c r="P28" i="22" s="1"/>
  <c r="O10" i="21"/>
  <c r="P30" i="21"/>
  <c r="M28" i="21"/>
  <c r="P28" i="21" s="1"/>
  <c r="P444" i="21"/>
  <c r="M414" i="21"/>
  <c r="P414" i="21" s="1"/>
  <c r="M10" i="21"/>
  <c r="P13" i="21"/>
  <c r="M11" i="21"/>
  <c r="P11" i="21" s="1"/>
  <c r="P10" i="20"/>
  <c r="O10" i="20"/>
  <c r="O11" i="18"/>
  <c r="M8" i="20"/>
  <c r="P8" i="20" s="1"/>
  <c r="O14" i="20"/>
  <c r="P11" i="18"/>
  <c r="O11" i="19"/>
  <c r="P11" i="20"/>
  <c r="P30" i="19"/>
  <c r="M28" i="19"/>
  <c r="P28" i="19" s="1"/>
  <c r="P444" i="19"/>
  <c r="M414" i="19"/>
  <c r="P414" i="19" s="1"/>
  <c r="O10" i="19"/>
  <c r="L8" i="19"/>
  <c r="O8" i="19" s="1"/>
  <c r="P11" i="19"/>
  <c r="P10" i="19"/>
  <c r="M8" i="19"/>
  <c r="P8" i="19" s="1"/>
  <c r="M414" i="13"/>
  <c r="P414" i="13" s="1"/>
  <c r="P11" i="16"/>
  <c r="P10" i="18"/>
  <c r="M8" i="18"/>
  <c r="P8" i="18" s="1"/>
  <c r="P523" i="18"/>
  <c r="M414" i="18"/>
  <c r="P414" i="18" s="1"/>
  <c r="O37" i="18"/>
  <c r="L8" i="18"/>
  <c r="O8" i="18" s="1"/>
  <c r="P37" i="18"/>
  <c r="P30" i="18"/>
  <c r="M28" i="18"/>
  <c r="P28" i="18" s="1"/>
  <c r="O11" i="16"/>
  <c r="O10" i="17"/>
  <c r="O10" i="10"/>
  <c r="P419" i="13"/>
  <c r="P10" i="16"/>
  <c r="P13" i="17"/>
  <c r="M10" i="17"/>
  <c r="M11" i="17"/>
  <c r="P11" i="17" s="1"/>
  <c r="L8" i="17"/>
  <c r="O8" i="17" s="1"/>
  <c r="O10" i="16"/>
  <c r="P467" i="17"/>
  <c r="M414" i="17"/>
  <c r="P414" i="17" s="1"/>
  <c r="P30" i="17"/>
  <c r="M28" i="17"/>
  <c r="P28" i="17" s="1"/>
  <c r="P37" i="12"/>
  <c r="O37" i="12"/>
  <c r="M28" i="12"/>
  <c r="P28" i="12" s="1"/>
  <c r="P37" i="16"/>
  <c r="P8" i="15"/>
  <c r="O37" i="16"/>
  <c r="O37" i="15"/>
  <c r="M414" i="16"/>
  <c r="P414" i="16" s="1"/>
  <c r="P419" i="16"/>
  <c r="L8" i="16"/>
  <c r="O8" i="16" s="1"/>
  <c r="P37" i="15"/>
  <c r="P30" i="16"/>
  <c r="M28" i="16"/>
  <c r="P28" i="16" s="1"/>
  <c r="M8" i="16"/>
  <c r="P8" i="16" s="1"/>
  <c r="O11" i="15"/>
  <c r="P37" i="13"/>
  <c r="P37" i="14"/>
  <c r="P11" i="15"/>
  <c r="M414" i="15"/>
  <c r="P414" i="15" s="1"/>
  <c r="P419" i="15"/>
  <c r="O10" i="15"/>
  <c r="L8" i="15"/>
  <c r="O8" i="15" s="1"/>
  <c r="P10" i="15"/>
  <c r="P30" i="15"/>
  <c r="M28" i="15"/>
  <c r="P28" i="15" s="1"/>
  <c r="M11" i="11"/>
  <c r="P11" i="11" s="1"/>
  <c r="M10" i="11"/>
  <c r="P10" i="11" s="1"/>
  <c r="O8" i="11"/>
  <c r="P8" i="14"/>
  <c r="P11" i="13"/>
  <c r="O37" i="13"/>
  <c r="O8" i="14"/>
  <c r="P10" i="14"/>
  <c r="O11" i="14"/>
  <c r="M414" i="14"/>
  <c r="P414" i="14" s="1"/>
  <c r="P419" i="14"/>
  <c r="O10" i="14"/>
  <c r="P30" i="14"/>
  <c r="M28" i="14"/>
  <c r="P28" i="14" s="1"/>
  <c r="M28" i="13"/>
  <c r="P28" i="13" s="1"/>
  <c r="P30" i="13"/>
  <c r="L8" i="13"/>
  <c r="O8" i="13" s="1"/>
  <c r="M8" i="13"/>
  <c r="P8" i="13" s="1"/>
  <c r="O10" i="11"/>
  <c r="P10" i="12"/>
  <c r="M414" i="12"/>
  <c r="P414" i="12" s="1"/>
  <c r="P37" i="11"/>
  <c r="O37" i="11"/>
  <c r="O37" i="10"/>
  <c r="O8" i="12"/>
  <c r="O10" i="12"/>
  <c r="O11" i="12"/>
  <c r="M8" i="12"/>
  <c r="P8" i="12" s="1"/>
  <c r="P37" i="10"/>
  <c r="O8" i="10"/>
  <c r="P13" i="10"/>
  <c r="M414" i="11"/>
  <c r="P414" i="11" s="1"/>
  <c r="P37" i="8"/>
  <c r="P37" i="6"/>
  <c r="O37" i="8"/>
  <c r="M10" i="10"/>
  <c r="P10" i="10" s="1"/>
  <c r="P444" i="10"/>
  <c r="M414" i="10"/>
  <c r="P414" i="10" s="1"/>
  <c r="P30" i="10"/>
  <c r="M28" i="10"/>
  <c r="P28" i="10" s="1"/>
  <c r="M28" i="9"/>
  <c r="P28" i="9" s="1"/>
  <c r="P30" i="9"/>
  <c r="P37" i="9"/>
  <c r="P10" i="7"/>
  <c r="O10" i="7"/>
  <c r="O37" i="9"/>
  <c r="P10" i="9"/>
  <c r="O11" i="9"/>
  <c r="O10" i="9"/>
  <c r="L8" i="9"/>
  <c r="O8" i="9" s="1"/>
  <c r="O414" i="9"/>
  <c r="M8" i="9"/>
  <c r="P8" i="9" s="1"/>
  <c r="P11" i="9"/>
  <c r="M8" i="7"/>
  <c r="P8" i="7" s="1"/>
  <c r="O11" i="8"/>
  <c r="O37" i="6"/>
  <c r="P30" i="8"/>
  <c r="M28" i="8"/>
  <c r="P28" i="8" s="1"/>
  <c r="P13" i="8"/>
  <c r="M10" i="8"/>
  <c r="M11" i="8"/>
  <c r="P11" i="8" s="1"/>
  <c r="P444" i="8"/>
  <c r="M414" i="8"/>
  <c r="P414" i="8" s="1"/>
  <c r="O10" i="8"/>
  <c r="L8" i="8"/>
  <c r="O8" i="8" s="1"/>
  <c r="P37" i="7"/>
  <c r="P30" i="7"/>
  <c r="M28" i="7"/>
  <c r="P28" i="7" s="1"/>
  <c r="M414" i="7"/>
  <c r="P414" i="7" s="1"/>
  <c r="P8" i="6"/>
  <c r="P11" i="7"/>
  <c r="P11" i="6"/>
  <c r="O8" i="5"/>
  <c r="O37" i="7"/>
  <c r="L8" i="7"/>
  <c r="O8" i="7" s="1"/>
  <c r="L8" i="6"/>
  <c r="O8" i="6" s="1"/>
  <c r="P10" i="6"/>
  <c r="P30" i="6"/>
  <c r="M28" i="6"/>
  <c r="P28" i="6" s="1"/>
  <c r="O10" i="5"/>
  <c r="P467" i="6"/>
  <c r="M414" i="6"/>
  <c r="P414" i="6" s="1"/>
  <c r="O37" i="4"/>
  <c r="P37" i="5"/>
  <c r="P523" i="5"/>
  <c r="M414" i="5"/>
  <c r="P414" i="5" s="1"/>
  <c r="P30" i="5"/>
  <c r="M28" i="5"/>
  <c r="P28" i="5" s="1"/>
  <c r="M10" i="5"/>
  <c r="P13" i="5"/>
  <c r="M11" i="5"/>
  <c r="P11" i="5" s="1"/>
  <c r="O37" i="5"/>
  <c r="P37" i="4"/>
  <c r="O10" i="4"/>
  <c r="O8" i="4"/>
  <c r="M10" i="4"/>
  <c r="P13" i="4"/>
  <c r="M11" i="4"/>
  <c r="P11" i="4" s="1"/>
  <c r="P419" i="4"/>
  <c r="M414" i="4"/>
  <c r="P414" i="4" s="1"/>
  <c r="P30" i="4"/>
  <c r="M28" i="4"/>
  <c r="P28" i="4" s="1"/>
  <c r="O414" i="4"/>
  <c r="M8" i="3"/>
  <c r="P8" i="3" s="1"/>
  <c r="O10" i="3"/>
  <c r="L8" i="3"/>
  <c r="O8" i="3" s="1"/>
  <c r="P30" i="3"/>
  <c r="M28" i="3"/>
  <c r="P28" i="3" s="1"/>
  <c r="O11" i="3"/>
  <c r="P544" i="3"/>
  <c r="M414" i="3"/>
  <c r="P414" i="3" s="1"/>
  <c r="P11" i="3"/>
  <c r="O11" i="2"/>
  <c r="O37" i="2"/>
  <c r="P13" i="2"/>
  <c r="M10" i="2"/>
  <c r="M11" i="2"/>
  <c r="P11" i="2" s="1"/>
  <c r="P419" i="2"/>
  <c r="M414" i="2"/>
  <c r="P414" i="2" s="1"/>
  <c r="P30" i="2"/>
  <c r="M28" i="2"/>
  <c r="P28" i="2" s="1"/>
  <c r="P37" i="2"/>
  <c r="O10" i="2"/>
  <c r="L8" i="2"/>
  <c r="O8" i="2" s="1"/>
  <c r="P37" i="1"/>
  <c r="O544" i="1"/>
  <c r="P544" i="1"/>
  <c r="O37" i="1"/>
  <c r="N10" i="1"/>
  <c r="N8" i="1" s="1"/>
  <c r="O8" i="1" s="1"/>
  <c r="N11" i="1"/>
  <c r="O13" i="1"/>
  <c r="P467" i="1"/>
  <c r="O467" i="1"/>
  <c r="N414" i="1"/>
  <c r="P414" i="1" s="1"/>
  <c r="P786" i="1"/>
  <c r="O786" i="1"/>
  <c r="N28" i="1"/>
  <c r="P30" i="1"/>
  <c r="O30" i="1"/>
  <c r="P629" i="1"/>
  <c r="O629" i="1"/>
  <c r="P31" i="1"/>
  <c r="O31" i="1"/>
  <c r="P13" i="1"/>
  <c r="M8" i="1"/>
  <c r="P10" i="22" l="1"/>
  <c r="M8" i="22"/>
  <c r="P8" i="22" s="1"/>
  <c r="P10" i="21"/>
  <c r="M8" i="21"/>
  <c r="P8" i="21" s="1"/>
  <c r="P10" i="17"/>
  <c r="M8" i="17"/>
  <c r="P8" i="17" s="1"/>
  <c r="M8" i="11"/>
  <c r="P8" i="11" s="1"/>
  <c r="M8" i="10"/>
  <c r="P8" i="10" s="1"/>
  <c r="P10" i="8"/>
  <c r="M8" i="8"/>
  <c r="P8" i="8" s="1"/>
  <c r="P10" i="5"/>
  <c r="M8" i="5"/>
  <c r="P8" i="5" s="1"/>
  <c r="P10" i="4"/>
  <c r="M8" i="4"/>
  <c r="P8" i="4" s="1"/>
  <c r="P10" i="2"/>
  <c r="M8" i="2"/>
  <c r="P8" i="2" s="1"/>
  <c r="P10" i="1"/>
  <c r="O10" i="1"/>
  <c r="P8" i="1"/>
  <c r="O28" i="1"/>
  <c r="P28" i="1"/>
  <c r="O414" i="1"/>
  <c r="P11" i="1"/>
  <c r="O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AE8E8128-61D1-4C40-B7EC-428CE5E990F7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<sst xmlns="http://schemas.openxmlformats.org/spreadsheetml/2006/main" count="34196" uniqueCount="363">
  <si>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</si>
  <si>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</si>
  <si>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</si>
  <si>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</si>
  <si>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</si>
  <si>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</si>
  <si>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</si>
  <si>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</si>
  <si>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</si>
  <si>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</si>
  <si>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</si>
  <si>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</si>
  <si>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</si>
  <si>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</si>
  <si>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</si>
  <si>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</si>
  <si>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</si>
  <si>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</si>
  <si>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</si>
  <si>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</si>
  <si>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</si>
  <si>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</si>
  <si>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</si>
  <si>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</si>
  <si>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</si>
  <si>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</si>
  <si>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</si>
  <si>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</si>
  <si>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</si>
  <si>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</si>
  <si>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</si>
  <si>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</si>
  <si>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</si>
  <si>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</si>
  <si>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</si>
  <si>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</si>
  <si>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</si>
  <si>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</si>
  <si>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</si>
  <si>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</si>
  <si>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</si>
  <si>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</si>
  <si>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</si>
  <si>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</si>
  <si>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</si>
  <si>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</si>
  <si>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</si>
  <si>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</si>
  <si>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</si>
  <si>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</si>
  <si>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</si>
  <si>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</si>
  <si>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</si>
  <si>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</si>
  <si>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</si>
  <si>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</si>
  <si>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</si>
  <si>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</si>
  <si>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</si>
  <si>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</si>
  <si>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</si>
  <si>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</si>
  <si>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</si>
  <si>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</si>
  <si>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</si>
  <si>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</si>
  <si>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</si>
  <si>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</si>
  <si>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</si>
  <si>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</si>
  <si>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</si>
  <si>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</si>
  <si>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</si>
  <si>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</si>
  <si>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</si>
  <si>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</si>
  <si>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</si>
  <si>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</si>
  <si>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</si>
  <si>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</si>
  <si>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</si>
  <si>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</si>
  <si>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</si>
  <si>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</si>
  <si>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</si>
  <si>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</si>
  <si>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</si>
  <si>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</si>
  <si>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</si>
  <si>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</si>
  <si>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</si>
  <si>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</si>
  <si>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</si>
  <si>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</si>
  <si>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</si>
  <si>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</si>
  <si>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</si>
  <si>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</si>
  <si>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</si>
  <si>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</si>
  <si>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</si>
  <si>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</si>
  <si>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</si>
  <si>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</si>
  <si>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</si>
  <si>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</si>
  <si>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</si>
  <si>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</si>
  <si>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</si>
  <si>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</si>
  <si>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</si>
  <si>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</si>
  <si>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</si>
  <si>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</si>
  <si>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</si>
  <si>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</si>
  <si>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</si>
  <si>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</si>
  <si>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</si>
  <si>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</si>
  <si>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</si>
  <si>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</si>
  <si>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</si>
  <si>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</si>
  <si>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</si>
  <si>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</si>
  <si>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</si>
  <si>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</si>
  <si>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</si>
  <si>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</si>
  <si>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</si>
  <si>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</si>
  <si>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</si>
  <si>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</si>
  <si>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</si>
  <si>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</si>
  <si>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</si>
  <si>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</si>
  <si>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</si>
  <si>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</si>
  <si>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</si>
  <si>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</si>
  <si>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</si>
  <si>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</si>
  <si>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</si>
  <si>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</si>
  <si>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</si>
  <si>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</si>
  <si>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</si>
  <si>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</si>
  <si>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</si>
  <si>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</si>
  <si>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</si>
  <si>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</si>
  <si>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</si>
  <si>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</si>
  <si>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</si>
  <si>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</si>
  <si>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</si>
  <si>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</si>
  <si>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</si>
  <si>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</si>
  <si>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</si>
  <si>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</si>
  <si>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</si>
  <si>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</si>
  <si>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</si>
  <si>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</si>
  <si>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</si>
  <si>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</si>
  <si>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</si>
  <si>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</si>
  <si>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</si>
  <si>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</si>
  <si>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</si>
  <si>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</si>
  <si>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</si>
  <si>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</si>
  <si>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</si>
  <si>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</si>
  <si>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</si>
  <si>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</si>
  <si>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</si>
  <si>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</si>
  <si>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</si>
  <si>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</si>
  <si>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</si>
  <si>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</si>
  <si>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</si>
  <si>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</si>
  <si>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</si>
  <si>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</si>
  <si>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</si>
  <si>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</si>
  <si>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</si>
  <si>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</si>
  <si>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</si>
  <si>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</si>
  <si>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</si>
  <si>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</si>
  <si>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</si>
  <si>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</si>
  <si>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</si>
  <si>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</si>
  <si>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</si>
  <si>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</si>
  <si>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</si>
  <si>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</si>
  <si>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</si>
  <si>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</si>
  <si>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</si>
  <si>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</si>
  <si>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</si>
  <si>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</si>
  <si>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</si>
  <si>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</si>
  <si>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</si>
  <si>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</si>
  <si>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</si>
  <si>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</si>
  <si>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</si>
  <si>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</si>
  <si>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</si>
  <si>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</si>
  <si>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</si>
  <si>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</si>
  <si>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</si>
  <si>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</si>
  <si>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</si>
  <si>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</si>
  <si>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</si>
  <si>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</si>
  <si>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</si>
  <si>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</si>
  <si>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</si>
  <si>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</si>
  <si>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</si>
  <si>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</si>
  <si>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</si>
  <si>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</si>
  <si>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</si>
  <si>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</si>
  <si>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</si>
  <si>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</si>
  <si>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</si>
  <si>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</si>
  <si>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</si>
  <si>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</si>
  <si>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</si>
  <si>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</si>
  <si>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</si>
  <si>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</si>
  <si>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</si>
  <si>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</si>
  <si>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</si>
  <si>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</si>
  <si>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</si>
  <si>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</si>
  <si>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</si>
  <si>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</si>
  <si>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</si>
  <si>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</si>
  <si>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</si>
  <si>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</si>
  <si>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</si>
  <si>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</si>
  <si>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</si>
  <si>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</si>
  <si>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</si>
  <si>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</si>
  <si>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</si>
  <si>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</si>
  <si>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</si>
  <si>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</si>
  <si>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</si>
  <si>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</si>
  <si>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</si>
  <si>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</si>
  <si>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</si>
  <si>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</si>
  <si>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</si>
  <si>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</si>
  <si>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</si>
  <si>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</si>
  <si>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</si>
  <si>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</si>
  <si>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</si>
  <si>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</si>
  <si>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</si>
  <si>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</si>
  <si>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</si>
  <si>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</si>
  <si>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</si>
  <si>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</si>
  <si>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</si>
  <si>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</si>
  <si>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</si>
  <si>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</si>
  <si>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</si>
  <si>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</si>
  <si>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</si>
  <si>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</si>
  <si>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</si>
  <si>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</si>
  <si>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</si>
  <si>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</si>
  <si>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</si>
  <si>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</si>
  <si>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</si>
  <si>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</si>
  <si>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</si>
  <si>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</si>
  <si>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</si>
  <si>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</si>
  <si>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</si>
  <si>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</si>
  <si>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</si>
  <si>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</si>
  <si>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</si>
  <si>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</si>
  <si>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</si>
  <si>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</si>
  <si>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</si>
  <si>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</si>
  <si>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</si>
  <si>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</si>
  <si>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</si>
  <si>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</si>
  <si>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</si>
  <si>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</si>
  <si>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</si>
  <si>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</si>
  <si>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</si>
  <si>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</si>
  <si>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</si>
  <si>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</si>
  <si>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</si>
  <si>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</si>
  <si>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</si>
  <si>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</si>
  <si>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</si>
  <si>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</si>
  <si>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</si>
  <si>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</si>
  <si>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</si>
  <si>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</si>
  <si>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</si>
  <si>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</si>
  <si>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</si>
  <si>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</si>
  <si>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</si>
  <si>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</si>
  <si>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</si>
  <si>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</si>
  <si>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</si>
  <si>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</si>
  <si>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</si>
  <si>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</si>
  <si>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</si>
  <si>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</si>
  <si>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</si>
  <si>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</si>
  <si>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31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</si>
</sst>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40"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11" fillId="14" borderId="13" xfId="0" applyFont="1" applyFill="1" applyBorder="1"/>
    <xf numFmtId="0" fontId="2" fillId="14" borderId="14" xfId="0" applyFont="1" applyFill="1" applyBorder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12" fillId="18" borderId="13" xfId="0" applyFont="1" applyFill="1" applyBorder="1"/>
    <xf numFmtId="0" fontId="2" fillId="18" borderId="14" xfId="0" applyFont="1" applyFill="1" applyBorder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13" fillId="2" borderId="13" xfId="0" applyFont="1" applyFill="1" applyBorder="1"/>
    <xf numFmtId="0" fontId="2" fillId="2" borderId="14" xfId="0" applyFont="1" applyFill="1" applyBorder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/>
    <xf numFmtId="0" fontId="14" fillId="2" borderId="10" xfId="0" applyFont="1" applyFill="1" applyBorder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/>
    <xf numFmtId="188" fontId="9" fillId="0" borderId="11" xfId="0" applyNumberFormat="1" applyFont="1" applyBorder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/>
    <xf numFmtId="187" fontId="2" fillId="0" borderId="10" xfId="0" applyNumberFormat="1" applyFont="1" applyBorder="1"/>
    <xf numFmtId="0" fontId="16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0" fontId="6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9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21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23" fillId="2" borderId="10" xfId="0" applyFont="1" applyFill="1" applyBorder="1"/>
    <xf numFmtId="0" fontId="24" fillId="0" borderId="0" xfId="0" applyFont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5" fillId="2" borderId="18" xfId="0" applyFont="1" applyFill="1" applyBorder="1"/>
    <xf numFmtId="0" fontId="8" fillId="2" borderId="19" xfId="0" applyFont="1" applyFill="1" applyBorder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3" borderId="9" xfId="0" applyNumberFormat="1" applyFont="1" applyFill="1" applyBorder="1"/>
    <xf numFmtId="187" fontId="2" fillId="23" borderId="10" xfId="0" applyNumberFormat="1" applyFont="1" applyFill="1" applyBorder="1"/>
    <xf numFmtId="0" fontId="2" fillId="23" borderId="10" xfId="0" applyFont="1" applyFill="1" applyBorder="1"/>
    <xf numFmtId="0" fontId="2" fillId="23" borderId="11" xfId="0" applyFont="1" applyFill="1" applyBorder="1"/>
    <xf numFmtId="0" fontId="4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4" borderId="9" xfId="0" applyNumberFormat="1" applyFont="1" applyFill="1" applyBorder="1"/>
    <xf numFmtId="0" fontId="2" fillId="24" borderId="10" xfId="0" applyFont="1" applyFill="1" applyBorder="1"/>
    <xf numFmtId="187" fontId="14" fillId="24" borderId="10" xfId="0" applyNumberFormat="1" applyFont="1" applyFill="1" applyBorder="1"/>
    <xf numFmtId="0" fontId="2" fillId="24" borderId="11" xfId="0" applyFont="1" applyFill="1" applyBorder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/>
    <xf numFmtId="188" fontId="4" fillId="24" borderId="11" xfId="0" applyNumberFormat="1" applyFont="1" applyFill="1" applyBorder="1"/>
    <xf numFmtId="0" fontId="4" fillId="0" borderId="10" xfId="0" quotePrefix="1" applyFont="1" applyBorder="1"/>
    <xf numFmtId="187" fontId="2" fillId="24" borderId="10" xfId="0" applyNumberFormat="1" applyFont="1" applyFill="1" applyBorder="1"/>
    <xf numFmtId="187" fontId="8" fillId="24" borderId="10" xfId="0" applyNumberFormat="1" applyFont="1" applyFill="1" applyBorder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4" borderId="10" xfId="0" applyFont="1" applyFill="1" applyBorder="1"/>
    <xf numFmtId="189" fontId="6" fillId="24" borderId="11" xfId="0" applyNumberFormat="1" applyFont="1" applyFill="1" applyBorder="1"/>
    <xf numFmtId="188" fontId="6" fillId="24" borderId="11" xfId="0" applyNumberFormat="1" applyFont="1" applyFill="1" applyBorder="1"/>
    <xf numFmtId="0" fontId="28" fillId="2" borderId="13" xfId="0" quotePrefix="1" applyFont="1" applyFill="1" applyBorder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29" fillId="2" borderId="11" xfId="0" applyNumberFormat="1" applyFont="1" applyFill="1" applyBorder="1"/>
    <xf numFmtId="188" fontId="4" fillId="22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/>
    <xf numFmtId="187" fontId="1" fillId="2" borderId="10" xfId="0" applyNumberFormat="1" applyFont="1" applyFill="1" applyBorder="1"/>
    <xf numFmtId="187" fontId="30" fillId="24" borderId="9" xfId="0" applyNumberFormat="1" applyFont="1" applyFill="1" applyBorder="1"/>
    <xf numFmtId="187" fontId="30" fillId="24" borderId="10" xfId="0" applyNumberFormat="1" applyFont="1" applyFill="1" applyBorder="1"/>
    <xf numFmtId="0" fontId="31" fillId="24" borderId="10" xfId="0" applyFont="1" applyFill="1" applyBorder="1"/>
    <xf numFmtId="0" fontId="30" fillId="24" borderId="10" xfId="0" applyFont="1" applyFill="1" applyBorder="1"/>
    <xf numFmtId="0" fontId="30" fillId="24" borderId="11" xfId="0" applyFont="1" applyFill="1" applyBorder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/>
    <xf numFmtId="188" fontId="32" fillId="24" borderId="11" xfId="0" applyNumberFormat="1" applyFont="1" applyFill="1" applyBorder="1"/>
    <xf numFmtId="188" fontId="29" fillId="24" borderId="11" xfId="0" applyNumberFormat="1" applyFont="1" applyFill="1" applyBorder="1"/>
    <xf numFmtId="0" fontId="33" fillId="0" borderId="0" xfId="0" applyFont="1"/>
    <xf numFmtId="190" fontId="30" fillId="2" borderId="12" xfId="0" applyNumberFormat="1" applyFont="1" applyFill="1" applyBorder="1"/>
    <xf numFmtId="0" fontId="30" fillId="2" borderId="13" xfId="0" applyFont="1" applyFill="1" applyBorder="1"/>
    <xf numFmtId="0" fontId="31" fillId="2" borderId="13" xfId="0" applyFont="1" applyFill="1" applyBorder="1"/>
    <xf numFmtId="0" fontId="34" fillId="2" borderId="13" xfId="0" applyFont="1" applyFill="1" applyBorder="1"/>
    <xf numFmtId="0" fontId="30" fillId="2" borderId="14" xfId="0" applyFont="1" applyFill="1" applyBorder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/>
    <xf numFmtId="188" fontId="29" fillId="0" borderId="14" xfId="0" applyNumberFormat="1" applyFont="1" applyBorder="1"/>
    <xf numFmtId="188" fontId="32" fillId="2" borderId="14" xfId="0" applyNumberFormat="1" applyFont="1" applyFill="1" applyBorder="1"/>
    <xf numFmtId="188" fontId="29" fillId="2" borderId="14" xfId="0" applyNumberFormat="1" applyFont="1" applyFill="1" applyBorder="1"/>
    <xf numFmtId="0" fontId="30" fillId="0" borderId="0" xfId="0" applyFont="1"/>
    <xf numFmtId="190" fontId="30" fillId="2" borderId="9" xfId="0" applyNumberFormat="1" applyFont="1" applyFill="1" applyBorder="1"/>
    <xf numFmtId="187" fontId="30" fillId="2" borderId="10" xfId="0" applyNumberFormat="1" applyFont="1" applyFill="1" applyBorder="1"/>
    <xf numFmtId="0" fontId="30" fillId="2" borderId="10" xfId="0" applyFont="1" applyFill="1" applyBorder="1"/>
    <xf numFmtId="0" fontId="35" fillId="2" borderId="10" xfId="0" applyFont="1" applyFill="1" applyBorder="1"/>
    <xf numFmtId="0" fontId="30" fillId="2" borderId="11" xfId="0" applyFont="1" applyFill="1" applyBorder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/>
    <xf numFmtId="188" fontId="29" fillId="0" borderId="11" xfId="0" applyNumberFormat="1" applyFont="1" applyBorder="1"/>
    <xf numFmtId="187" fontId="30" fillId="2" borderId="9" xfId="0" applyNumberFormat="1" applyFont="1" applyFill="1" applyBorder="1"/>
    <xf numFmtId="187" fontId="31" fillId="2" borderId="10" xfId="0" applyNumberFormat="1" applyFont="1" applyFill="1" applyBorder="1"/>
    <xf numFmtId="189" fontId="29" fillId="2" borderId="11" xfId="0" applyNumberFormat="1" applyFont="1" applyFill="1" applyBorder="1"/>
    <xf numFmtId="0" fontId="30" fillId="2" borderId="0" xfId="0" applyFont="1" applyFill="1"/>
    <xf numFmtId="187" fontId="30" fillId="0" borderId="9" xfId="0" applyNumberFormat="1" applyFont="1" applyBorder="1"/>
    <xf numFmtId="187" fontId="30" fillId="0" borderId="10" xfId="0" applyNumberFormat="1" applyFont="1" applyBorder="1"/>
    <xf numFmtId="0" fontId="36" fillId="21" borderId="10" xfId="0" quotePrefix="1" applyFont="1" applyFill="1" applyBorder="1"/>
    <xf numFmtId="0" fontId="30" fillId="21" borderId="10" xfId="0" applyFont="1" applyFill="1" applyBorder="1"/>
    <xf numFmtId="0" fontId="30" fillId="21" borderId="11" xfId="0" applyFont="1" applyFill="1" applyBorder="1"/>
    <xf numFmtId="0" fontId="29" fillId="0" borderId="11" xfId="0" applyFont="1" applyBorder="1"/>
    <xf numFmtId="0" fontId="35" fillId="0" borderId="10" xfId="0" applyFont="1" applyBorder="1"/>
    <xf numFmtId="0" fontId="30" fillId="0" borderId="10" xfId="0" applyFont="1" applyBorder="1"/>
    <xf numFmtId="0" fontId="30" fillId="0" borderId="11" xfId="0" applyFont="1" applyBorder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/>
    <xf numFmtId="0" fontId="35" fillId="0" borderId="10" xfId="0" quotePrefix="1" applyFont="1" applyBorder="1"/>
    <xf numFmtId="187" fontId="7" fillId="24" borderId="9" xfId="0" applyNumberFormat="1" applyFont="1" applyFill="1" applyBorder="1"/>
    <xf numFmtId="187" fontId="7" fillId="24" borderId="10" xfId="0" applyNumberFormat="1" applyFont="1" applyFill="1" applyBorder="1"/>
    <xf numFmtId="0" fontId="15" fillId="24" borderId="10" xfId="0" applyFont="1" applyFill="1" applyBorder="1"/>
    <xf numFmtId="0" fontId="7" fillId="24" borderId="10" xfId="0" applyFont="1" applyFill="1" applyBorder="1"/>
    <xf numFmtId="0" fontId="7" fillId="24" borderId="11" xfId="0" applyFont="1" applyFill="1" applyBorder="1"/>
    <xf numFmtId="189" fontId="26" fillId="24" borderId="11" xfId="0" applyNumberFormat="1" applyFont="1" applyFill="1" applyBorder="1"/>
    <xf numFmtId="188" fontId="26" fillId="24" borderId="11" xfId="0" applyNumberFormat="1" applyFont="1" applyFill="1" applyBorder="1"/>
    <xf numFmtId="188" fontId="9" fillId="24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3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7" fontId="7" fillId="2" borderId="10" xfId="0" applyNumberFormat="1" applyFont="1" applyFill="1" applyBorder="1"/>
    <xf numFmtId="188" fontId="9" fillId="22" borderId="11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/>
    <xf numFmtId="187" fontId="8" fillId="0" borderId="10" xfId="0" quotePrefix="1" applyNumberFormat="1" applyFont="1" applyBorder="1"/>
    <xf numFmtId="0" fontId="38" fillId="2" borderId="13" xfId="0" quotePrefix="1" applyFont="1" applyFill="1" applyBorder="1"/>
    <xf numFmtId="0" fontId="17" fillId="0" borderId="10" xfId="0" quotePrefix="1" applyFont="1" applyBorder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5" borderId="5" xfId="0" applyNumberFormat="1" applyFont="1" applyFill="1" applyBorder="1"/>
    <xf numFmtId="187" fontId="2" fillId="25" borderId="1" xfId="0" applyNumberFormat="1" applyFont="1" applyFill="1" applyBorder="1"/>
    <xf numFmtId="0" fontId="2" fillId="25" borderId="1" xfId="0" applyFont="1" applyFill="1" applyBorder="1"/>
    <xf numFmtId="0" fontId="2" fillId="25" borderId="4" xfId="0" applyFont="1" applyFill="1" applyBorder="1"/>
    <xf numFmtId="0" fontId="4" fillId="25" borderId="4" xfId="0" applyFont="1" applyFill="1" applyBorder="1"/>
    <xf numFmtId="189" fontId="4" fillId="25" borderId="4" xfId="0" applyNumberFormat="1" applyFont="1" applyFill="1" applyBorder="1"/>
    <xf numFmtId="188" fontId="4" fillId="25" borderId="4" xfId="0" applyNumberFormat="1" applyFont="1" applyFill="1" applyBorder="1"/>
    <xf numFmtId="187" fontId="1" fillId="26" borderId="9" xfId="0" applyNumberFormat="1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4" fillId="26" borderId="10" xfId="0" applyFont="1" applyFill="1" applyBorder="1"/>
    <xf numFmtId="189" fontId="4" fillId="26" borderId="10" xfId="0" applyNumberFormat="1" applyFont="1" applyFill="1" applyBorder="1"/>
    <xf numFmtId="189" fontId="4" fillId="26" borderId="11" xfId="0" applyNumberFormat="1" applyFont="1" applyFill="1" applyBorder="1"/>
    <xf numFmtId="188" fontId="4" fillId="26" borderId="11" xfId="0" applyNumberFormat="1" applyFont="1" applyFill="1" applyBorder="1"/>
    <xf numFmtId="190" fontId="2" fillId="27" borderId="9" xfId="0" applyNumberFormat="1" applyFont="1" applyFill="1" applyBorder="1"/>
    <xf numFmtId="0" fontId="1" fillId="27" borderId="10" xfId="0" applyFont="1" applyFill="1" applyBorder="1"/>
    <xf numFmtId="0" fontId="2" fillId="27" borderId="10" xfId="0" applyFont="1" applyFill="1" applyBorder="1"/>
    <xf numFmtId="187" fontId="2" fillId="27" borderId="10" xfId="0" applyNumberFormat="1" applyFont="1" applyFill="1" applyBorder="1"/>
    <xf numFmtId="0" fontId="2" fillId="27" borderId="11" xfId="0" applyFont="1" applyFill="1" applyBorder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/>
    <xf numFmtId="188" fontId="6" fillId="27" borderId="11" xfId="0" applyNumberFormat="1" applyFont="1" applyFill="1" applyBorder="1"/>
    <xf numFmtId="188" fontId="4" fillId="27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4" xfId="0" applyFont="1" applyBorder="1" applyAlignment="1">
      <alignment horizontal="center"/>
    </xf>
    <xf numFmtId="0" fontId="4" fillId="0" borderId="1" xfId="0" applyFont="1" applyBorder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/>
    <xf numFmtId="189" fontId="4" fillId="22" borderId="4" xfId="0" applyNumberFormat="1" applyFont="1" applyFill="1" applyBorder="1"/>
    <xf numFmtId="187" fontId="1" fillId="28" borderId="5" xfId="0" applyNumberFormat="1" applyFont="1" applyFill="1" applyBorder="1"/>
    <xf numFmtId="187" fontId="2" fillId="28" borderId="1" xfId="0" applyNumberFormat="1" applyFont="1" applyFill="1" applyBorder="1"/>
    <xf numFmtId="0" fontId="2" fillId="28" borderId="1" xfId="0" applyFont="1" applyFill="1" applyBorder="1"/>
    <xf numFmtId="0" fontId="2" fillId="28" borderId="4" xfId="0" applyFont="1" applyFill="1" applyBorder="1"/>
    <xf numFmtId="0" fontId="4" fillId="28" borderId="4" xfId="0" applyFont="1" applyFill="1" applyBorder="1"/>
    <xf numFmtId="189" fontId="4" fillId="28" borderId="4" xfId="0" applyNumberFormat="1" applyFont="1" applyFill="1" applyBorder="1"/>
    <xf numFmtId="188" fontId="4" fillId="28" borderId="4" xfId="0" applyNumberFormat="1" applyFont="1" applyFill="1" applyBorder="1"/>
    <xf numFmtId="187" fontId="1" fillId="29" borderId="9" xfId="0" applyNumberFormat="1" applyFont="1" applyFill="1" applyBorder="1"/>
    <xf numFmtId="187" fontId="2" fillId="29" borderId="10" xfId="0" applyNumberFormat="1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4" fillId="29" borderId="11" xfId="0" applyFont="1" applyFill="1" applyBorder="1"/>
    <xf numFmtId="189" fontId="4" fillId="29" borderId="11" xfId="0" applyNumberFormat="1" applyFont="1" applyFill="1" applyBorder="1"/>
    <xf numFmtId="188" fontId="4" fillId="29" borderId="11" xfId="0" applyNumberFormat="1" applyFont="1" applyFill="1" applyBorder="1"/>
    <xf numFmtId="187" fontId="2" fillId="30" borderId="9" xfId="0" applyNumberFormat="1" applyFont="1" applyFill="1" applyBorder="1"/>
    <xf numFmtId="0" fontId="1" fillId="30" borderId="10" xfId="0" applyFont="1" applyFill="1" applyBorder="1"/>
    <xf numFmtId="0" fontId="2" fillId="30" borderId="10" xfId="0" applyFont="1" applyFill="1" applyBorder="1"/>
    <xf numFmtId="0" fontId="2" fillId="30" borderId="11" xfId="0" applyFont="1" applyFill="1" applyBorder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/>
    <xf numFmtId="188" fontId="6" fillId="30" borderId="11" xfId="0" applyNumberFormat="1" applyFont="1" applyFill="1" applyBorder="1"/>
    <xf numFmtId="188" fontId="4" fillId="30" borderId="11" xfId="0" applyNumberFormat="1" applyFont="1" applyFill="1" applyBorder="1"/>
    <xf numFmtId="0" fontId="4" fillId="29" borderId="10" xfId="0" applyFont="1" applyFill="1" applyBorder="1"/>
    <xf numFmtId="190" fontId="2" fillId="30" borderId="9" xfId="0" applyNumberFormat="1" applyFont="1" applyFill="1" applyBorder="1"/>
    <xf numFmtId="190" fontId="2" fillId="30" borderId="10" xfId="0" applyNumberFormat="1" applyFont="1" applyFill="1" applyBorder="1"/>
    <xf numFmtId="187" fontId="2" fillId="30" borderId="10" xfId="0" applyNumberFormat="1" applyFont="1" applyFill="1" applyBorder="1"/>
    <xf numFmtId="189" fontId="4" fillId="30" borderId="11" xfId="0" applyNumberFormat="1" applyFont="1" applyFill="1" applyBorder="1"/>
    <xf numFmtId="0" fontId="41" fillId="24" borderId="10" xfId="0" applyFont="1" applyFill="1" applyBorder="1"/>
    <xf numFmtId="0" fontId="4" fillId="24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42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0" fontId="49" fillId="0" borderId="0" xfId="0" applyFont="1"/>
    <xf numFmtId="187" fontId="44" fillId="31" borderId="9" xfId="0" applyNumberFormat="1" applyFont="1" applyFill="1" applyBorder="1"/>
    <xf numFmtId="187" fontId="44" fillId="31" borderId="10" xfId="0" applyNumberFormat="1" applyFont="1" applyFill="1" applyBorder="1"/>
    <xf numFmtId="0" fontId="45" fillId="31" borderId="10" xfId="0" applyFont="1" applyFill="1" applyBorder="1"/>
    <xf numFmtId="0" fontId="44" fillId="31" borderId="10" xfId="0" applyFont="1" applyFill="1" applyBorder="1"/>
    <xf numFmtId="0" fontId="44" fillId="31" borderId="11" xfId="0" applyFont="1" applyFill="1" applyBorder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/>
    <xf numFmtId="188" fontId="47" fillId="31" borderId="11" xfId="0" applyNumberFormat="1" applyFont="1" applyFill="1" applyBorder="1"/>
    <xf numFmtId="188" fontId="48" fillId="31" borderId="11" xfId="0" applyNumberFormat="1" applyFont="1" applyFill="1" applyBorder="1"/>
    <xf numFmtId="0" fontId="50" fillId="31" borderId="10" xfId="0" applyFont="1" applyFill="1" applyBorder="1"/>
    <xf numFmtId="0" fontId="48" fillId="31" borderId="11" xfId="0" applyFont="1" applyFill="1" applyBorder="1"/>
    <xf numFmtId="189" fontId="48" fillId="31" borderId="11" xfId="0" applyNumberFormat="1" applyFont="1" applyFill="1" applyBorder="1"/>
    <xf numFmtId="41" fontId="47" fillId="31" borderId="11" xfId="0" applyNumberFormat="1" applyFont="1" applyFill="1" applyBorder="1"/>
    <xf numFmtId="0" fontId="51" fillId="24" borderId="10" xfId="0" applyFont="1" applyFill="1" applyBorder="1"/>
    <xf numFmtId="0" fontId="14" fillId="0" borderId="1" xfId="0" applyFont="1" applyBorder="1"/>
    <xf numFmtId="0" fontId="4" fillId="0" borderId="4" xfId="0" applyFont="1" applyBorder="1" applyAlignment="1">
      <alignment horizontal="center" wrapText="1"/>
    </xf>
    <xf numFmtId="188" fontId="4" fillId="2" borderId="4" xfId="0" applyNumberFormat="1" applyFont="1" applyFill="1" applyBorder="1"/>
    <xf numFmtId="187" fontId="1" fillId="32" borderId="5" xfId="0" applyNumberFormat="1" applyFont="1" applyFill="1" applyBorder="1"/>
    <xf numFmtId="187" fontId="2" fillId="32" borderId="1" xfId="0" applyNumberFormat="1" applyFont="1" applyFill="1" applyBorder="1"/>
    <xf numFmtId="0" fontId="2" fillId="32" borderId="1" xfId="0" applyFont="1" applyFill="1" applyBorder="1"/>
    <xf numFmtId="0" fontId="2" fillId="32" borderId="4" xfId="0" applyFont="1" applyFill="1" applyBorder="1"/>
    <xf numFmtId="0" fontId="4" fillId="32" borderId="4" xfId="0" applyFont="1" applyFill="1" applyBorder="1"/>
    <xf numFmtId="189" fontId="4" fillId="32" borderId="4" xfId="0" applyNumberFormat="1" applyFont="1" applyFill="1" applyBorder="1"/>
    <xf numFmtId="188" fontId="4" fillId="32" borderId="4" xfId="0" applyNumberFormat="1" applyFont="1" applyFill="1" applyBorder="1"/>
    <xf numFmtId="187" fontId="1" fillId="33" borderId="9" xfId="0" applyNumberFormat="1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4" fillId="33" borderId="11" xfId="0" applyFont="1" applyFill="1" applyBorder="1"/>
    <xf numFmtId="189" fontId="4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34" borderId="9" xfId="0" applyNumberFormat="1" applyFont="1" applyFill="1" applyBorder="1"/>
    <xf numFmtId="0" fontId="1" fillId="34" borderId="10" xfId="0" applyFont="1" applyFill="1" applyBorder="1"/>
    <xf numFmtId="187" fontId="2" fillId="34" borderId="10" xfId="0" applyNumberFormat="1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/>
    <xf numFmtId="188" fontId="6" fillId="34" borderId="11" xfId="0" applyNumberFormat="1" applyFont="1" applyFill="1" applyBorder="1"/>
    <xf numFmtId="188" fontId="4" fillId="34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/>
    <xf numFmtId="0" fontId="52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/>
    <xf numFmtId="189" fontId="4" fillId="22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5" borderId="9" xfId="0" applyFont="1" applyFill="1" applyBorder="1"/>
    <xf numFmtId="0" fontId="2" fillId="35" borderId="10" xfId="0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8" fontId="4" fillId="35" borderId="11" xfId="0" applyNumberFormat="1" applyFont="1" applyFill="1" applyBorder="1"/>
    <xf numFmtId="188" fontId="6" fillId="35" borderId="11" xfId="0" applyNumberFormat="1" applyFont="1" applyFill="1" applyBorder="1"/>
    <xf numFmtId="0" fontId="1" fillId="36" borderId="9" xfId="0" applyFont="1" applyFill="1" applyBorder="1"/>
    <xf numFmtId="0" fontId="2" fillId="36" borderId="10" xfId="0" applyFont="1" applyFill="1" applyBorder="1"/>
    <xf numFmtId="0" fontId="4" fillId="36" borderId="10" xfId="0" applyFont="1" applyFill="1" applyBorder="1"/>
    <xf numFmtId="189" fontId="4" fillId="36" borderId="10" xfId="0" applyNumberFormat="1" applyFont="1" applyFill="1" applyBorder="1"/>
    <xf numFmtId="188" fontId="4" fillId="36" borderId="10" xfId="0" applyNumberFormat="1" applyFont="1" applyFill="1" applyBorder="1"/>
    <xf numFmtId="188" fontId="4" fillId="36" borderId="11" xfId="0" applyNumberFormat="1" applyFont="1" applyFill="1" applyBorder="1"/>
    <xf numFmtId="0" fontId="2" fillId="36" borderId="11" xfId="0" applyFont="1" applyFill="1" applyBorder="1"/>
    <xf numFmtId="0" fontId="4" fillId="36" borderId="11" xfId="0" applyFont="1" applyFill="1" applyBorder="1"/>
    <xf numFmtId="189" fontId="4" fillId="36" borderId="11" xfId="0" applyNumberFormat="1" applyFont="1" applyFill="1" applyBorder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/>
    <xf numFmtId="188" fontId="6" fillId="37" borderId="11" xfId="0" applyNumberFormat="1" applyFont="1" applyFill="1" applyBorder="1"/>
    <xf numFmtId="188" fontId="4" fillId="37" borderId="11" xfId="0" applyNumberFormat="1" applyFont="1" applyFill="1" applyBorder="1"/>
    <xf numFmtId="0" fontId="2" fillId="37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4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/>
    <xf numFmtId="0" fontId="4" fillId="37" borderId="13" xfId="0" applyFont="1" applyFill="1" applyBorder="1"/>
    <xf numFmtId="0" fontId="4" fillId="37" borderId="14" xfId="0" applyFont="1" applyFill="1" applyBorder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/>
    <xf numFmtId="188" fontId="6" fillId="37" borderId="14" xfId="0" applyNumberFormat="1" applyFont="1" applyFill="1" applyBorder="1"/>
    <xf numFmtId="188" fontId="4" fillId="37" borderId="14" xfId="0" applyNumberFormat="1" applyFont="1" applyFill="1" applyBorder="1"/>
    <xf numFmtId="0" fontId="4" fillId="37" borderId="9" xfId="0" applyFont="1" applyFill="1" applyBorder="1"/>
    <xf numFmtId="187" fontId="4" fillId="37" borderId="10" xfId="0" applyNumberFormat="1" applyFont="1" applyFill="1" applyBorder="1"/>
    <xf numFmtId="0" fontId="4" fillId="37" borderId="10" xfId="0" applyFont="1" applyFill="1" applyBorder="1"/>
    <xf numFmtId="0" fontId="4" fillId="37" borderId="11" xfId="0" applyFont="1" applyFill="1" applyBorder="1"/>
    <xf numFmtId="190" fontId="4" fillId="2" borderId="9" xfId="0" applyNumberFormat="1" applyFont="1" applyFill="1" applyBorder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7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9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/>
    <xf numFmtId="187" fontId="9" fillId="37" borderId="13" xfId="0" applyNumberFormat="1" applyFont="1" applyFill="1" applyBorder="1"/>
    <xf numFmtId="0" fontId="9" fillId="37" borderId="13" xfId="0" applyFont="1" applyFill="1" applyBorder="1"/>
    <xf numFmtId="0" fontId="9" fillId="37" borderId="14" xfId="0" applyFont="1" applyFill="1" applyBorder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/>
    <xf numFmtId="188" fontId="26" fillId="37" borderId="14" xfId="0" applyNumberFormat="1" applyFont="1" applyFill="1" applyBorder="1"/>
    <xf numFmtId="188" fontId="9" fillId="37" borderId="14" xfId="0" applyNumberFormat="1" applyFont="1" applyFill="1" applyBorder="1"/>
    <xf numFmtId="0" fontId="9" fillId="37" borderId="9" xfId="0" applyFont="1" applyFill="1" applyBorder="1"/>
    <xf numFmtId="187" fontId="9" fillId="37" borderId="10" xfId="0" applyNumberFormat="1" applyFont="1" applyFill="1" applyBorder="1"/>
    <xf numFmtId="0" fontId="9" fillId="37" borderId="10" xfId="0" applyFont="1" applyFill="1" applyBorder="1"/>
    <xf numFmtId="0" fontId="9" fillId="37" borderId="11" xfId="0" applyFont="1" applyFill="1" applyBorder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/>
    <xf numFmtId="188" fontId="26" fillId="37" borderId="11" xfId="0" applyNumberFormat="1" applyFont="1" applyFill="1" applyBorder="1"/>
    <xf numFmtId="188" fontId="9" fillId="37" borderId="11" xfId="0" applyNumberFormat="1" applyFont="1" applyFill="1" applyBorder="1"/>
    <xf numFmtId="0" fontId="60" fillId="2" borderId="10" xfId="0" applyFont="1" applyFill="1" applyBorder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2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8" borderId="9" xfId="0" applyFont="1" applyFill="1" applyBorder="1"/>
    <xf numFmtId="187" fontId="2" fillId="38" borderId="10" xfId="0" applyNumberFormat="1" applyFont="1" applyFill="1" applyBorder="1"/>
    <xf numFmtId="0" fontId="2" fillId="38" borderId="10" xfId="0" applyFont="1" applyFill="1" applyBorder="1"/>
    <xf numFmtId="0" fontId="2" fillId="38" borderId="11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8" fontId="4" fillId="38" borderId="11" xfId="0" applyNumberFormat="1" applyFont="1" applyFill="1" applyBorder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/>
    <xf numFmtId="187" fontId="4" fillId="39" borderId="13" xfId="0" applyNumberFormat="1" applyFont="1" applyFill="1" applyBorder="1"/>
    <xf numFmtId="0" fontId="4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190" fontId="4" fillId="40" borderId="9" xfId="0" applyNumberFormat="1" applyFont="1" applyFill="1" applyBorder="1"/>
    <xf numFmtId="0" fontId="6" fillId="40" borderId="10" xfId="0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0" fontId="63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9" borderId="13" xfId="0" applyFont="1" applyFill="1" applyBorder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/>
    <xf numFmtId="188" fontId="6" fillId="39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40" borderId="9" xfId="0" applyNumberFormat="1" applyFont="1" applyFill="1" applyBorder="1"/>
    <xf numFmtId="187" fontId="6" fillId="40" borderId="10" xfId="0" applyNumberFormat="1" applyFont="1" applyFill="1" applyBorder="1"/>
    <xf numFmtId="187" fontId="4" fillId="40" borderId="10" xfId="0" applyNumberFormat="1" applyFont="1" applyFill="1" applyBorder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/>
    <xf numFmtId="189" fontId="4" fillId="22" borderId="3" xfId="0" applyNumberFormat="1" applyFont="1" applyFill="1" applyBorder="1"/>
    <xf numFmtId="188" fontId="4" fillId="0" borderId="3" xfId="0" applyNumberFormat="1" applyFont="1" applyBorder="1"/>
    <xf numFmtId="191" fontId="6" fillId="40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40" borderId="10" xfId="0" applyNumberFormat="1" applyFont="1" applyFill="1" applyBorder="1"/>
    <xf numFmtId="0" fontId="6" fillId="40" borderId="11" xfId="0" applyFont="1" applyFill="1" applyBorder="1" applyAlignment="1">
      <alignment horizontal="center"/>
    </xf>
    <xf numFmtId="187" fontId="9" fillId="41" borderId="9" xfId="0" applyNumberFormat="1" applyFont="1" applyFill="1" applyBorder="1"/>
    <xf numFmtId="187" fontId="9" fillId="41" borderId="10" xfId="0" applyNumberFormat="1" applyFont="1" applyFill="1" applyBorder="1"/>
    <xf numFmtId="187" fontId="26" fillId="41" borderId="10" xfId="0" applyNumberFormat="1" applyFont="1" applyFill="1" applyBorder="1"/>
    <xf numFmtId="0" fontId="9" fillId="41" borderId="10" xfId="0" applyFont="1" applyFill="1" applyBorder="1"/>
    <xf numFmtId="0" fontId="9" fillId="41" borderId="11" xfId="0" applyFont="1" applyFill="1" applyBorder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/>
    <xf numFmtId="188" fontId="26" fillId="41" borderId="11" xfId="0" applyNumberFormat="1" applyFont="1" applyFill="1" applyBorder="1"/>
    <xf numFmtId="188" fontId="9" fillId="41" borderId="11" xfId="0" applyNumberFormat="1" applyFont="1" applyFill="1" applyBorder="1"/>
    <xf numFmtId="0" fontId="9" fillId="0" borderId="10" xfId="0" quotePrefix="1" applyFont="1" applyBorder="1"/>
    <xf numFmtId="187" fontId="4" fillId="41" borderId="9" xfId="0" applyNumberFormat="1" applyFont="1" applyFill="1" applyBorder="1"/>
    <xf numFmtId="187" fontId="4" fillId="41" borderId="10" xfId="0" applyNumberFormat="1" applyFont="1" applyFill="1" applyBorder="1"/>
    <xf numFmtId="187" fontId="6" fillId="41" borderId="10" xfId="0" applyNumberFormat="1" applyFont="1" applyFill="1" applyBorder="1"/>
    <xf numFmtId="0" fontId="4" fillId="41" borderId="10" xfId="0" applyFont="1" applyFill="1" applyBorder="1"/>
    <xf numFmtId="0" fontId="4" fillId="41" borderId="11" xfId="0" applyFont="1" applyFill="1" applyBorder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/>
    <xf numFmtId="188" fontId="6" fillId="41" borderId="11" xfId="0" applyNumberFormat="1" applyFont="1" applyFill="1" applyBorder="1"/>
    <xf numFmtId="188" fontId="4" fillId="41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/>
    <xf numFmtId="0" fontId="4" fillId="39" borderId="7" xfId="0" applyFont="1" applyFill="1" applyBorder="1"/>
    <xf numFmtId="0" fontId="4" fillId="39" borderId="8" xfId="0" applyFont="1" applyFill="1" applyBorder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/>
    <xf numFmtId="188" fontId="6" fillId="39" borderId="8" xfId="0" applyNumberFormat="1" applyFont="1" applyFill="1" applyBorder="1"/>
    <xf numFmtId="188" fontId="4" fillId="39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/>
    <xf numFmtId="0" fontId="4" fillId="40" borderId="13" xfId="0" applyFont="1" applyFill="1" applyBorder="1"/>
    <xf numFmtId="0" fontId="6" fillId="40" borderId="13" xfId="0" applyFont="1" applyFill="1" applyBorder="1"/>
    <xf numFmtId="0" fontId="4" fillId="40" borderId="14" xfId="0" applyFont="1" applyFill="1" applyBorder="1"/>
    <xf numFmtId="189" fontId="4" fillId="40" borderId="14" xfId="0" applyNumberFormat="1" applyFont="1" applyFill="1" applyBorder="1"/>
    <xf numFmtId="188" fontId="4" fillId="40" borderId="14" xfId="0" applyNumberFormat="1" applyFont="1" applyFill="1" applyBorder="1"/>
    <xf numFmtId="0" fontId="67" fillId="2" borderId="10" xfId="0" applyFont="1" applyFill="1" applyBorder="1"/>
    <xf numFmtId="0" fontId="68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/>
    <xf numFmtId="0" fontId="9" fillId="39" borderId="7" xfId="0" applyFont="1" applyFill="1" applyBorder="1"/>
    <xf numFmtId="0" fontId="9" fillId="39" borderId="8" xfId="0" applyFont="1" applyFill="1" applyBorder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/>
    <xf numFmtId="188" fontId="26" fillId="39" borderId="8" xfId="0" applyNumberFormat="1" applyFont="1" applyFill="1" applyBorder="1"/>
    <xf numFmtId="188" fontId="9" fillId="39" borderId="8" xfId="0" applyNumberFormat="1" applyFont="1" applyFill="1" applyBorder="1"/>
    <xf numFmtId="0" fontId="70" fillId="2" borderId="10" xfId="0" applyFont="1" applyFill="1" applyBorder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/>
    <xf numFmtId="0" fontId="9" fillId="39" borderId="13" xfId="0" applyFont="1" applyFill="1" applyBorder="1"/>
    <xf numFmtId="0" fontId="9" fillId="39" borderId="14" xfId="0" applyFont="1" applyFill="1" applyBorder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/>
    <xf numFmtId="188" fontId="26" fillId="39" borderId="14" xfId="0" applyNumberFormat="1" applyFont="1" applyFill="1" applyBorder="1"/>
    <xf numFmtId="188" fontId="9" fillId="39" borderId="14" xfId="0" applyNumberFormat="1" applyFont="1" applyFill="1" applyBorder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/>
    <xf numFmtId="0" fontId="9" fillId="39" borderId="10" xfId="0" applyFont="1" applyFill="1" applyBorder="1"/>
    <xf numFmtId="0" fontId="9" fillId="39" borderId="11" xfId="0" applyFont="1" applyFill="1" applyBorder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/>
    <xf numFmtId="188" fontId="26" fillId="39" borderId="11" xfId="0" applyNumberFormat="1" applyFont="1" applyFill="1" applyBorder="1"/>
    <xf numFmtId="188" fontId="9" fillId="39" borderId="11" xfId="0" applyNumberFormat="1" applyFont="1" applyFill="1" applyBorder="1"/>
    <xf numFmtId="187" fontId="9" fillId="0" borderId="11" xfId="0" applyNumberFormat="1" applyFont="1" applyBorder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/>
    <xf numFmtId="188" fontId="2" fillId="0" borderId="11" xfId="0" applyNumberFormat="1" applyFont="1" applyBorder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/>
    <xf numFmtId="187" fontId="9" fillId="39" borderId="10" xfId="0" applyNumberFormat="1" applyFont="1" applyFill="1" applyBorder="1"/>
    <xf numFmtId="187" fontId="73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/>
    <xf numFmtId="189" fontId="4" fillId="10" borderId="11" xfId="0" applyNumberFormat="1" applyFont="1" applyFill="1" applyBorder="1"/>
    <xf numFmtId="188" fontId="4" fillId="10" borderId="11" xfId="0" applyNumberFormat="1" applyFont="1" applyFill="1" applyBorder="1"/>
    <xf numFmtId="0" fontId="4" fillId="2" borderId="4" xfId="0" applyFont="1" applyFill="1" applyBorder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/>
    <xf numFmtId="0" fontId="1" fillId="13" borderId="10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/>
    <xf numFmtId="0" fontId="1" fillId="16" borderId="10" xfId="0" applyFont="1" applyFill="1" applyBorder="1"/>
    <xf numFmtId="0" fontId="53" fillId="2" borderId="13" xfId="0" applyFont="1" applyFill="1" applyBorder="1"/>
    <xf numFmtId="0" fontId="3" fillId="0" borderId="13" xfId="0" applyFont="1" applyBorder="1"/>
    <xf numFmtId="0" fontId="55" fillId="2" borderId="10" xfId="0" applyFont="1" applyFill="1" applyBorder="1"/>
    <xf numFmtId="0" fontId="60" fillId="2" borderId="10" xfId="0" applyFont="1" applyFill="1" applyBorder="1"/>
    <xf numFmtId="0" fontId="65" fillId="2" borderId="13" xfId="0" applyFont="1" applyFill="1" applyBorder="1"/>
    <xf numFmtId="0" fontId="72" fillId="2" borderId="10" xfId="0" applyFont="1" applyFill="1" applyBorder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/>
    <xf numFmtId="0" fontId="5" fillId="18" borderId="13" xfId="0" applyFont="1" applyFill="1" applyBorder="1"/>
    <xf numFmtId="0" fontId="5" fillId="2" borderId="13" xfId="0" applyFont="1" applyFill="1" applyBorder="1"/>
    <xf numFmtId="0" fontId="5" fillId="21" borderId="10" xfId="0" quotePrefix="1" applyFont="1" applyFill="1" applyBorder="1"/>
    <xf numFmtId="0" fontId="5" fillId="9" borderId="10" xfId="0" applyFont="1" applyFill="1" applyBorder="1"/>
    <xf numFmtId="0" fontId="23" fillId="2" borderId="18" xfId="0" applyFont="1" applyFill="1" applyBorder="1"/>
    <xf numFmtId="0" fontId="5" fillId="2" borderId="13" xfId="0" quotePrefix="1" applyFont="1" applyFill="1" applyBorder="1"/>
    <xf numFmtId="0" fontId="27" fillId="2" borderId="13" xfId="0" applyFont="1" applyFill="1" applyBorder="1"/>
    <xf numFmtId="188" fontId="9" fillId="2" borderId="14" xfId="0" applyNumberFormat="1" applyFont="1" applyFill="1" applyBorder="1"/>
    <xf numFmtId="188" fontId="29" fillId="22" borderId="11" xfId="0" applyNumberFormat="1" applyFont="1" applyFill="1" applyBorder="1"/>
    <xf numFmtId="187" fontId="14" fillId="0" borderId="10" xfId="0" quotePrefix="1" applyNumberFormat="1" applyFont="1" applyBorder="1"/>
    <xf numFmtId="189" fontId="4" fillId="27" borderId="11" xfId="0" applyNumberFormat="1" applyFont="1" applyFill="1" applyBorder="1"/>
    <xf numFmtId="0" fontId="5" fillId="24" borderId="10" xfId="0" applyFont="1" applyFill="1" applyBorder="1"/>
    <xf numFmtId="0" fontId="5" fillId="8" borderId="10" xfId="0" applyFont="1" applyFill="1" applyBorder="1"/>
    <xf numFmtId="0" fontId="5" fillId="21" borderId="0" xfId="0" quotePrefix="1" applyFont="1" applyFill="1"/>
    <xf numFmtId="0" fontId="5" fillId="2" borderId="13" xfId="0" applyFont="1" applyFill="1" applyBorder="1"/>
    <xf numFmtId="0" fontId="5" fillId="21" borderId="13" xfId="0" quotePrefix="1" applyFont="1" applyFill="1" applyBorder="1"/>
    <xf numFmtId="187" fontId="55" fillId="21" borderId="10" xfId="0" applyNumberFormat="1" applyFont="1" applyFill="1" applyBorder="1"/>
    <xf numFmtId="187" fontId="55" fillId="21" borderId="10" xfId="0" quotePrefix="1" applyNumberFormat="1" applyFont="1" applyFill="1" applyBorder="1"/>
    <xf numFmtId="0" fontId="60" fillId="21" borderId="10" xfId="0" quotePrefix="1" applyFont="1" applyFill="1" applyBorder="1"/>
    <xf numFmtId="0" fontId="55" fillId="21" borderId="10" xfId="0" quotePrefix="1" applyFont="1" applyFill="1" applyBorder="1"/>
    <xf numFmtId="0" fontId="55" fillId="2" borderId="13" xfId="0" applyFont="1" applyFill="1" applyBorder="1"/>
    <xf numFmtId="0" fontId="55" fillId="21" borderId="10" xfId="0" applyFont="1" applyFill="1" applyBorder="1"/>
    <xf numFmtId="0" fontId="60" fillId="21" borderId="10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7" fontId="4" fillId="0" borderId="11" xfId="0" applyNumberFormat="1" applyFont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91" fontId="4" fillId="22" borderId="11" xfId="0" applyNumberFormat="1" applyFont="1" applyFill="1" applyBorder="1"/>
    <xf numFmtId="191" fontId="4" fillId="22" borderId="4" xfId="0" applyNumberFormat="1" applyFont="1" applyFill="1" applyBorder="1"/>
    <xf numFmtId="189" fontId="64" fillId="22" borderId="11" xfId="0" applyNumberFormat="1" applyFont="1" applyFill="1" applyBorder="1"/>
    <xf numFmtId="189" fontId="35" fillId="22" borderId="11" xfId="0" applyNumberFormat="1" applyFont="1" applyFill="1" applyBorder="1" applyAlignment="1">
      <alignment horizontal="righ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8.54296875" bestFit="1" customWidth="1"/>
    <col min="10" max="10" width="16.90625" bestFit="1" customWidth="1"/>
    <col min="11" max="11" width="11.453125" bestFit="1" customWidth="1"/>
    <col min="12" max="14" width="20.81640625" bestFit="1" customWidth="1"/>
    <col min="15" max="15" width="18.7265625" bestFit="1" customWidth="1"/>
    <col min="16" max="16" width="20.36328125" bestFit="1" customWidth="1"/>
  </cols>
  <sheetData>
    <row r="1" spans="1:26" ht="20.25" customHeight="1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20.25" customHeight="1">
      <c r="A2" s="775" t="s">
        <v>1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20.25" customHeight="1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20.25" customHeight="1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97358891.780000001</v>
      </c>
      <c r="N8" s="22">
        <f t="shared" ca="1" si="0"/>
        <v>78069133.239999861</v>
      </c>
      <c r="O8" s="22">
        <f t="shared" ref="O8:O16" ca="1" si="1">IF(L8&gt;0,N8*100/L8,0)</f>
        <v>83.759556484630053</v>
      </c>
      <c r="P8" s="22">
        <f t="shared" ref="P8:P16" ca="1" si="2">IF(M8&gt;0,N8*100/M8,0)</f>
        <v>80.186957567687969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97358891.780000001</v>
      </c>
      <c r="N10" s="30">
        <f t="shared" ca="1" si="4"/>
        <v>78069133.239999861</v>
      </c>
      <c r="O10" s="30">
        <f t="shared" ca="1" si="1"/>
        <v>83.759556484630053</v>
      </c>
      <c r="P10" s="30">
        <f t="shared" ca="1" si="2"/>
        <v>80.186957567687969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87462379.439999998</v>
      </c>
      <c r="N11" s="38">
        <f t="shared" ca="1" si="5"/>
        <v>68172620.899999857</v>
      </c>
      <c r="O11" s="38">
        <f t="shared" ca="1" si="1"/>
        <v>81.911624995914622</v>
      </c>
      <c r="P11" s="38">
        <f t="shared" ca="1" si="2"/>
        <v>77.945079171744808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87462379.439999998</v>
      </c>
      <c r="N13" s="45">
        <f t="shared" ca="1" si="7"/>
        <v>68172620.899999857</v>
      </c>
      <c r="O13" s="45">
        <f t="shared" ca="1" si="1"/>
        <v>81.911624995914622</v>
      </c>
      <c r="P13" s="45">
        <f t="shared" ca="1" si="2"/>
        <v>77.945079171744808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9896512.3399999999</v>
      </c>
      <c r="N14" s="38">
        <f t="shared" ca="1" si="8"/>
        <v>9896512.3399999999</v>
      </c>
      <c r="O14" s="38">
        <f t="shared" ca="1" si="1"/>
        <v>99.171399911816579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9896512.3399999999</v>
      </c>
      <c r="N16" s="52">
        <f t="shared" ca="1" si="10"/>
        <v>9896512.3399999999</v>
      </c>
      <c r="O16" s="52">
        <f t="shared" ca="1" si="1"/>
        <v>99.171399911816579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73935520.780000001</v>
      </c>
      <c r="N18" s="22">
        <f t="shared" ca="1" si="11"/>
        <v>62644385.669999868</v>
      </c>
      <c r="O18" s="22">
        <f t="shared" ref="O18:O26" ca="1" si="12">IF(L18&gt;0,N18*100/L18,0)</f>
        <v>89.864231838765406</v>
      </c>
      <c r="P18" s="22">
        <f t="shared" ref="P18:P26" ca="1" si="13">IF(M18&gt;0,N18*100/M18,0)</f>
        <v>84.728402544701552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73935520.780000001</v>
      </c>
      <c r="N20" s="30">
        <f t="shared" ca="1" si="15"/>
        <v>62644385.669999868</v>
      </c>
      <c r="O20" s="30">
        <f t="shared" ca="1" si="12"/>
        <v>89.864231838765406</v>
      </c>
      <c r="P20" s="30">
        <f t="shared" ca="1" si="13"/>
        <v>84.728402544701552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64039008.439999998</v>
      </c>
      <c r="N21" s="38">
        <f t="shared" ca="1" si="16"/>
        <v>52747873.329999872</v>
      </c>
      <c r="O21" s="38">
        <f t="shared" ca="1" si="12"/>
        <v>88.309287985318861</v>
      </c>
      <c r="P21" s="38">
        <f t="shared" ca="1" si="13"/>
        <v>82.368348003734141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64039008.439999998</v>
      </c>
      <c r="N23" s="45">
        <f t="shared" ca="1" si="18"/>
        <v>52747873.329999872</v>
      </c>
      <c r="O23" s="45">
        <f t="shared" ca="1" si="12"/>
        <v>88.309287985318861</v>
      </c>
      <c r="P23" s="45">
        <f t="shared" ca="1" si="13"/>
        <v>82.368348003734141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9896512.3399999999</v>
      </c>
      <c r="N24" s="38">
        <f t="shared" ca="1" si="19"/>
        <v>9896512.3399999999</v>
      </c>
      <c r="O24" s="38">
        <f t="shared" ca="1" si="12"/>
        <v>99.171399911816579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9896512.3399999999</v>
      </c>
      <c r="N26" s="52">
        <f t="shared" ca="1" si="21"/>
        <v>9896512.3399999999</v>
      </c>
      <c r="O26" s="52">
        <f t="shared" ca="1" si="12"/>
        <v>99.171399911816579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15424747.569999987</v>
      </c>
      <c r="O28" s="22">
        <f t="shared" ref="O28:O37" ca="1" si="23">IF(L28&gt;0,N28*100/L28,0)</f>
        <v>65.647819539553723</v>
      </c>
      <c r="P28" s="22">
        <f t="shared" ref="P28:P31" ca="1" si="24">IF(M28&gt;0,N28*100/M28,0)</f>
        <v>65.851954315200786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15424747.569999987</v>
      </c>
      <c r="O30" s="30">
        <f t="shared" ca="1" si="23"/>
        <v>65.647819539553723</v>
      </c>
      <c r="P30" s="30">
        <f t="shared" ca="1" si="24"/>
        <v>65.851954315200786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15424747.569999987</v>
      </c>
      <c r="O31" s="38">
        <f t="shared" ca="1" si="23"/>
        <v>65.647819539553723</v>
      </c>
      <c r="P31" s="38">
        <f t="shared" ca="1" si="24"/>
        <v>65.851954315200786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15424747.569999987</v>
      </c>
      <c r="O33" s="45">
        <f t="shared" ca="1" si="23"/>
        <v>65.647819539553723</v>
      </c>
      <c r="P33" s="45">
        <f t="shared" ref="P33:P37" ca="1" si="30">IF(M33&gt;0,N33*100/M33,0)</f>
        <v>65.851954315200786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66173220.780000001</v>
      </c>
      <c r="N37" s="59">
        <f ca="1">N41+N53+N66+N88+N119+N132+N149+N165+N181+N261+N277+N298+N315+N328+N345+N389+N402</f>
        <v>62644385.669999868</v>
      </c>
      <c r="O37" s="59">
        <f t="shared" ca="1" si="23"/>
        <v>89.864231838765406</v>
      </c>
      <c r="P37" s="59">
        <f t="shared" ca="1" si="30"/>
        <v>94.667276175460572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9894673.4399999995</v>
      </c>
      <c r="N41" s="85">
        <f t="shared" ca="1" si="34"/>
        <v>8051930.2999999896</v>
      </c>
      <c r="O41" s="85">
        <f t="shared" ref="O41:O45" ca="1" si="35">IF(L41&gt;0,N41*100/L41,0)</f>
        <v>97.172327176699355</v>
      </c>
      <c r="P41" s="85">
        <f t="shared" ref="P41:P49" ca="1" si="36">IF(M41&gt;0,N41*100/M41,0)</f>
        <v>81.376412762137505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9894673.4399999995</v>
      </c>
      <c r="N43" s="92">
        <f t="shared" ca="1" si="38"/>
        <v>8051930.2999999896</v>
      </c>
      <c r="O43" s="92">
        <f t="shared" ca="1" si="35"/>
        <v>97.172327176699355</v>
      </c>
      <c r="P43" s="92">
        <f t="shared" ca="1" si="36"/>
        <v>81.376412762137505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9894673.4399999995</v>
      </c>
      <c r="N44" s="38">
        <f t="shared" ca="1" si="39"/>
        <v>8051930.2999999896</v>
      </c>
      <c r="O44" s="38">
        <f t="shared" ca="1" si="35"/>
        <v>97.172327176699355</v>
      </c>
      <c r="P44" s="38">
        <f t="shared" ca="1" si="36"/>
        <v>81.376412762137505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"),9894673.44)</f>
        <v>9894673.4399999995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"),8051930.29999999)</f>
        <v>8051930.2999999896</v>
      </c>
      <c r="O46" s="45">
        <f ca="1">IF(M46&gt;0,N46*100/M46,0)</f>
        <v>81.376412762137505</v>
      </c>
      <c r="P46" s="45">
        <f t="shared" ca="1" si="36"/>
        <v>81.376412762137505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20.25" customHeight="1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20.25" customHeight="1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20.25" customHeight="1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2">L54+L55</f>
        <v>19569900</v>
      </c>
      <c r="M53" s="115">
        <f t="shared" ca="1" si="42"/>
        <v>20037922.34</v>
      </c>
      <c r="N53" s="115">
        <f t="shared" ca="1" si="42"/>
        <v>18439330.779999901</v>
      </c>
      <c r="O53" s="115">
        <f t="shared" ref="O53:O61" ca="1" si="43">IF(L53&gt;0,N53*100/L53,0)</f>
        <v>94.222917746130022</v>
      </c>
      <c r="P53" s="115">
        <f t="shared" ref="P53:P61" ca="1" si="44">IF(M53&gt;0,N53*100/M53,0)</f>
        <v>92.02216910079062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5">L57+L60</f>
        <v>0</v>
      </c>
      <c r="M54" s="122">
        <f t="shared" si="45"/>
        <v>0</v>
      </c>
      <c r="N54" s="122">
        <f t="shared" si="45"/>
        <v>0</v>
      </c>
      <c r="O54" s="122">
        <f t="shared" si="43"/>
        <v>0</v>
      </c>
      <c r="P54" s="122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6">L58+L61</f>
        <v>19569900</v>
      </c>
      <c r="M55" s="122">
        <f t="shared" ca="1" si="46"/>
        <v>20037922.34</v>
      </c>
      <c r="N55" s="122">
        <f t="shared" ca="1" si="46"/>
        <v>18439330.779999901</v>
      </c>
      <c r="O55" s="122">
        <f t="shared" ca="1" si="43"/>
        <v>94.222917746130022</v>
      </c>
      <c r="P55" s="122">
        <f t="shared" ca="1" si="44"/>
        <v>92.02216910079062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14621650</v>
      </c>
      <c r="N56" s="38">
        <f t="shared" ca="1" si="47"/>
        <v>13023058.439999901</v>
      </c>
      <c r="O56" s="38">
        <f t="shared" ca="1" si="43"/>
        <v>92.295349746990823</v>
      </c>
      <c r="P56" s="38">
        <f t="shared" ca="1" si="44"/>
        <v>89.066955097406236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"),14621650)</f>
        <v>14621650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"),13023058.4399999)</f>
        <v>13023058.439999901</v>
      </c>
      <c r="O58" s="45">
        <f t="shared" ca="1" si="43"/>
        <v>92.295349746990823</v>
      </c>
      <c r="P58" s="45">
        <f t="shared" ca="1" si="44"/>
        <v>89.066955097406236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5416272.3399999999</v>
      </c>
      <c r="N59" s="38">
        <f t="shared" ca="1" si="48"/>
        <v>5416272.3399999999</v>
      </c>
      <c r="O59" s="38">
        <f t="shared" ca="1" si="43"/>
        <v>99.204577907211018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"),5416272.34)</f>
        <v>5416272.3399999999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"),5416272.34)</f>
        <v>5416272.3399999999</v>
      </c>
      <c r="O61" s="52">
        <f t="shared" ca="1" si="43"/>
        <v>99.204577907211018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20.25" customHeight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20.25" customHeight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9">I76</f>
        <v>8</v>
      </c>
      <c r="J64" s="143">
        <f t="shared" ca="1" si="49"/>
        <v>8</v>
      </c>
      <c r="K64" s="144">
        <f t="shared" ref="K64:K65" ca="1" si="50">IF(I64&gt;0,J64*100/I64,0)</f>
        <v>100</v>
      </c>
      <c r="L64" s="145"/>
      <c r="M64" s="145"/>
      <c r="N64" s="145"/>
      <c r="O64" s="145"/>
      <c r="P64" s="145"/>
    </row>
    <row r="65" spans="1:26" ht="20.25" customHeight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1">I77</f>
        <v>450</v>
      </c>
      <c r="J65" s="143">
        <f t="shared" ca="1" si="51"/>
        <v>450</v>
      </c>
      <c r="K65" s="144">
        <f t="shared" ca="1" si="50"/>
        <v>100</v>
      </c>
      <c r="L65" s="145"/>
      <c r="M65" s="145"/>
      <c r="N65" s="145"/>
      <c r="O65" s="145"/>
      <c r="P65" s="145"/>
    </row>
    <row r="66" spans="1:26" ht="20.25" customHeight="1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2">L67+L68</f>
        <v>5761100</v>
      </c>
      <c r="M66" s="154">
        <f t="shared" ca="1" si="52"/>
        <v>5805940</v>
      </c>
      <c r="N66" s="154">
        <f t="shared" ca="1" si="52"/>
        <v>4687302.05</v>
      </c>
      <c r="O66" s="154">
        <f t="shared" ref="O66:O74" ca="1" si="53">IF(L66&gt;0,N66*100/L66,0)</f>
        <v>81.361233965735707</v>
      </c>
      <c r="P66" s="154">
        <f t="shared" ref="P66:P74" ca="1" si="54">IF(M66&gt;0,N66*100/M66,0)</f>
        <v>80.732870990743962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5805940</v>
      </c>
      <c r="N68" s="45">
        <f t="shared" ca="1" si="56"/>
        <v>4687302.05</v>
      </c>
      <c r="O68" s="45">
        <f t="shared" ca="1" si="53"/>
        <v>81.361233965735707</v>
      </c>
      <c r="P68" s="45">
        <f t="shared" ca="1" si="54"/>
        <v>80.732870990743962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57">L70+L71</f>
        <v>5761100</v>
      </c>
      <c r="M69" s="38">
        <f t="shared" ca="1" si="57"/>
        <v>5805940</v>
      </c>
      <c r="N69" s="38">
        <f t="shared" ca="1" si="57"/>
        <v>4687302.05</v>
      </c>
      <c r="O69" s="38">
        <f t="shared" ca="1" si="53"/>
        <v>81.361233965735707</v>
      </c>
      <c r="P69" s="38">
        <f t="shared" ca="1" si="54"/>
        <v>80.732870990743962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"),4687302.05)</f>
        <v>4687302.05</v>
      </c>
      <c r="O71" s="45">
        <f t="shared" ca="1" si="53"/>
        <v>81.361233965735707</v>
      </c>
      <c r="P71" s="45">
        <f t="shared" ca="1" si="54"/>
        <v>80.732870990743962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20.25" customHeight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6" ca="1" si="59">I78+I80+I82</f>
        <v>8</v>
      </c>
      <c r="J76" s="37">
        <f t="shared" ca="1" si="59"/>
        <v>8</v>
      </c>
      <c r="K76" s="162">
        <f t="shared" ref="K76:K84" ca="1" si="60">IF(I76&gt;0,J76*100/I76,0)</f>
        <v>100</v>
      </c>
      <c r="L76" s="162"/>
      <c r="M76" s="162"/>
      <c r="N76" s="162"/>
      <c r="O76" s="162"/>
      <c r="P76" s="162"/>
    </row>
    <row r="77" spans="1:26" ht="20.25" customHeight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ref="I77:J77" ca="1" si="61">I79+I81+I83</f>
        <v>450</v>
      </c>
      <c r="J77" s="37">
        <f t="shared" ca="1" si="61"/>
        <v>450</v>
      </c>
      <c r="K77" s="162">
        <f t="shared" ca="1" si="60"/>
        <v>100</v>
      </c>
      <c r="L77" s="162"/>
      <c r="M77" s="162"/>
      <c r="N77" s="162"/>
      <c r="O77" s="162"/>
      <c r="P77" s="162"/>
    </row>
    <row r="78" spans="1:26" ht="20.25" customHeight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1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2">
        <f t="shared" ca="1" si="60"/>
        <v>100</v>
      </c>
      <c r="L78" s="162"/>
      <c r="M78" s="162"/>
      <c r="N78" s="162"/>
      <c r="O78" s="162"/>
      <c r="P78" s="162"/>
    </row>
    <row r="79" spans="1:26" ht="20.25" customHeight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1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2">
        <f t="shared" ca="1" si="60"/>
        <v>100</v>
      </c>
      <c r="L79" s="162"/>
      <c r="M79" s="162"/>
      <c r="N79" s="162"/>
      <c r="O79" s="162"/>
      <c r="P79" s="162"/>
    </row>
    <row r="80" spans="1:26" ht="20.25" customHeight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1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2">
        <f t="shared" ca="1" si="60"/>
        <v>100</v>
      </c>
      <c r="L80" s="162"/>
      <c r="M80" s="162"/>
      <c r="N80" s="162"/>
      <c r="O80" s="162"/>
      <c r="P80" s="162"/>
    </row>
    <row r="81" spans="1:26" ht="20.25" customHeight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1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2">
        <f t="shared" ca="1" si="60"/>
        <v>100</v>
      </c>
      <c r="L81" s="162"/>
      <c r="M81" s="162"/>
      <c r="N81" s="162"/>
      <c r="O81" s="162"/>
      <c r="P81" s="162"/>
    </row>
    <row r="82" spans="1:26" ht="20.25" customHeight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1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2">
        <f t="shared" ca="1" si="60"/>
        <v>100</v>
      </c>
      <c r="L82" s="162"/>
      <c r="M82" s="162"/>
      <c r="N82" s="162"/>
      <c r="O82" s="162"/>
      <c r="P82" s="162"/>
    </row>
    <row r="83" spans="1:26" ht="20.25" customHeight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1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2">
        <f t="shared" ca="1" si="60"/>
        <v>100</v>
      </c>
      <c r="L83" s="162"/>
      <c r="M83" s="162"/>
      <c r="N83" s="162"/>
      <c r="O83" s="162"/>
      <c r="P83" s="162"/>
    </row>
    <row r="84" spans="1:26" ht="20.25" customHeight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1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2">
        <f t="shared" ca="1" si="60"/>
        <v>50</v>
      </c>
      <c r="L84" s="162"/>
      <c r="M84" s="162"/>
      <c r="N84" s="162"/>
      <c r="O84" s="162"/>
      <c r="P84" s="162"/>
    </row>
    <row r="85" spans="1:26" ht="20.25" customHeight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20.25" customHeight="1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2">I98</f>
        <v>645</v>
      </c>
      <c r="J86" s="143">
        <f t="shared" ca="1" si="62"/>
        <v>645</v>
      </c>
      <c r="K86" s="144">
        <f t="shared" ref="K86:K87" ca="1" si="63">IF(I86&gt;0,J86*100/I86,0)</f>
        <v>100</v>
      </c>
      <c r="L86" s="145"/>
      <c r="M86" s="145"/>
      <c r="N86" s="145"/>
      <c r="O86" s="145"/>
      <c r="P86" s="145"/>
    </row>
    <row r="87" spans="1:26" ht="20.25" customHeight="1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4">I99</f>
        <v>215</v>
      </c>
      <c r="J87" s="143">
        <f t="shared" ca="1" si="64"/>
        <v>215</v>
      </c>
      <c r="K87" s="144">
        <f t="shared" ca="1" si="63"/>
        <v>100</v>
      </c>
      <c r="L87" s="145"/>
      <c r="M87" s="145"/>
      <c r="N87" s="145"/>
      <c r="O87" s="145"/>
      <c r="P87" s="145"/>
    </row>
    <row r="88" spans="1:26" ht="20.25" customHeight="1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5">L89+L90</f>
        <v>3424660</v>
      </c>
      <c r="M88" s="154">
        <f t="shared" ca="1" si="65"/>
        <v>3453165</v>
      </c>
      <c r="N88" s="154">
        <f t="shared" ca="1" si="65"/>
        <v>2889199.05</v>
      </c>
      <c r="O88" s="154">
        <f t="shared" ref="O88:O96" ca="1" si="66">IF(L88&gt;0,N88*100/L88,0)</f>
        <v>84.364551517522912</v>
      </c>
      <c r="P88" s="154">
        <f t="shared" ref="P88:P96" ca="1" si="67">IF(M88&gt;0,N88*100/M88,0)</f>
        <v>83.668143572635543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3453165</v>
      </c>
      <c r="N90" s="45">
        <f t="shared" ca="1" si="69"/>
        <v>2889199.05</v>
      </c>
      <c r="O90" s="45">
        <f t="shared" ca="1" si="66"/>
        <v>84.364551517522912</v>
      </c>
      <c r="P90" s="45">
        <f t="shared" ca="1" si="67"/>
        <v>83.668143572635543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70">L92+L93</f>
        <v>3424660</v>
      </c>
      <c r="M91" s="38">
        <f t="shared" ca="1" si="70"/>
        <v>3453165</v>
      </c>
      <c r="N91" s="38">
        <f t="shared" ca="1" si="70"/>
        <v>2889199.05</v>
      </c>
      <c r="O91" s="38">
        <f t="shared" ca="1" si="66"/>
        <v>84.364551517522912</v>
      </c>
      <c r="P91" s="38">
        <f t="shared" ca="1" si="67"/>
        <v>83.668143572635543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"),2889199.05)</f>
        <v>2889199.05</v>
      </c>
      <c r="O93" s="45">
        <f t="shared" ca="1" si="66"/>
        <v>84.364551517522912</v>
      </c>
      <c r="P93" s="45">
        <f t="shared" ca="1" si="67"/>
        <v>83.668143572635543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20.25" customHeight="1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2"/>
      <c r="P98" s="162"/>
    </row>
    <row r="99" spans="1:16" ht="20.25" customHeight="1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2"/>
      <c r="P99" s="162"/>
    </row>
    <row r="100" spans="1:16" ht="20.25" customHeight="1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33</v>
      </c>
      <c r="K100" s="38">
        <f t="shared" ca="1" si="72"/>
        <v>86.84210526315789</v>
      </c>
      <c r="L100" s="38"/>
      <c r="M100" s="38"/>
      <c r="N100" s="38"/>
      <c r="O100" s="162"/>
      <c r="P100" s="162"/>
    </row>
    <row r="101" spans="1:16" ht="20.25" customHeight="1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20.25" customHeight="1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1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2"/>
      <c r="P102" s="162"/>
    </row>
    <row r="103" spans="1:16" ht="20.25" customHeight="1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1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2"/>
      <c r="P103" s="162"/>
    </row>
    <row r="104" spans="1:16" ht="20.25" customHeight="1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1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2"/>
      <c r="P104" s="162"/>
    </row>
    <row r="105" spans="1:16" ht="20.25" customHeight="1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20.25" customHeight="1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1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8">
        <f t="shared" ref="K106:K107" ca="1" si="74">IF(I106&gt;0,J106*100/I106,0)</f>
        <v>100</v>
      </c>
      <c r="L106" s="38"/>
      <c r="M106" s="38"/>
      <c r="N106" s="38"/>
      <c r="O106" s="162"/>
      <c r="P106" s="162"/>
    </row>
    <row r="107" spans="1:16" ht="20.25" customHeight="1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1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8">
        <f t="shared" ca="1" si="74"/>
        <v>100</v>
      </c>
      <c r="L107" s="38"/>
      <c r="M107" s="38"/>
      <c r="N107" s="38"/>
      <c r="O107" s="162"/>
      <c r="P107" s="162"/>
    </row>
    <row r="108" spans="1:16" ht="20.25" customHeight="1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20.25" customHeight="1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1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"),16)</f>
        <v>16</v>
      </c>
      <c r="K109" s="38">
        <f t="shared" ref="K109:K116" ca="1" si="75">IF(I109&gt;0,J109*100/I109,0)</f>
        <v>76.19047619047619</v>
      </c>
      <c r="L109" s="38"/>
      <c r="M109" s="38"/>
      <c r="N109" s="38"/>
      <c r="O109" s="162"/>
      <c r="P109" s="162"/>
    </row>
    <row r="110" spans="1:16" ht="20.25" customHeight="1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1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"),16)</f>
        <v>16</v>
      </c>
      <c r="K110" s="38">
        <f t="shared" ca="1" si="75"/>
        <v>76.19047619047619</v>
      </c>
      <c r="L110" s="38"/>
      <c r="M110" s="38"/>
      <c r="N110" s="38"/>
      <c r="O110" s="162"/>
      <c r="P110" s="162"/>
    </row>
    <row r="111" spans="1:16" ht="20.25" customHeight="1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0">
        <f ca="1">J114</f>
        <v>65</v>
      </c>
      <c r="K111" s="191">
        <f t="shared" ca="1" si="75"/>
        <v>30.232558139534884</v>
      </c>
      <c r="L111" s="38"/>
      <c r="M111" s="38"/>
      <c r="N111" s="38"/>
      <c r="O111" s="162"/>
      <c r="P111" s="162"/>
    </row>
    <row r="112" spans="1:16" ht="20.25" customHeight="1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76">I115+I116</f>
        <v>38</v>
      </c>
      <c r="J112" s="190">
        <f t="shared" ca="1" si="76"/>
        <v>13</v>
      </c>
      <c r="K112" s="191">
        <f t="shared" ca="1" si="75"/>
        <v>34.210526315789473</v>
      </c>
      <c r="L112" s="38"/>
      <c r="M112" s="38"/>
      <c r="N112" s="38"/>
      <c r="O112" s="162"/>
      <c r="P112" s="162"/>
    </row>
    <row r="113" spans="1:26" ht="20.25" customHeight="1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1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"),95)</f>
        <v>95</v>
      </c>
      <c r="K113" s="38">
        <f t="shared" ca="1" si="75"/>
        <v>44.186046511627907</v>
      </c>
      <c r="L113" s="38"/>
      <c r="M113" s="38"/>
      <c r="N113" s="38"/>
      <c r="O113" s="162"/>
      <c r="P113" s="162"/>
    </row>
    <row r="114" spans="1:26" ht="20.25" customHeight="1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1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"),65)</f>
        <v>65</v>
      </c>
      <c r="K114" s="38">
        <f t="shared" ca="1" si="75"/>
        <v>30.232558139534884</v>
      </c>
      <c r="L114" s="38"/>
      <c r="M114" s="38"/>
      <c r="N114" s="38"/>
      <c r="O114" s="162"/>
      <c r="P114" s="162"/>
    </row>
    <row r="115" spans="1:26" ht="20.25" customHeight="1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1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"),5)</f>
        <v>5</v>
      </c>
      <c r="K115" s="38">
        <f t="shared" ca="1" si="75"/>
        <v>29.411764705882351</v>
      </c>
      <c r="L115" s="38"/>
      <c r="M115" s="38"/>
      <c r="N115" s="38"/>
      <c r="O115" s="162"/>
      <c r="P115" s="162"/>
    </row>
    <row r="116" spans="1:26" ht="20.25" customHeight="1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1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"),8)</f>
        <v>8</v>
      </c>
      <c r="K116" s="38">
        <f t="shared" ca="1" si="75"/>
        <v>38.095238095238095</v>
      </c>
      <c r="L116" s="38"/>
      <c r="M116" s="38"/>
      <c r="N116" s="38"/>
      <c r="O116" s="162"/>
      <c r="P116" s="162"/>
    </row>
    <row r="117" spans="1:26" ht="20.25" customHeight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20.25" customHeight="1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143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3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4">
        <f ca="1">IF(I118&gt;0,J118*100/I118,0)</f>
        <v>100</v>
      </c>
      <c r="L118" s="145"/>
      <c r="M118" s="145"/>
      <c r="N118" s="145"/>
      <c r="O118" s="145"/>
      <c r="P118" s="145"/>
    </row>
    <row r="119" spans="1:26" ht="20.25" customHeight="1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7">L120+L121</f>
        <v>26800</v>
      </c>
      <c r="M119" s="154">
        <f t="shared" ca="1" si="77"/>
        <v>26800</v>
      </c>
      <c r="N119" s="154">
        <f t="shared" ca="1" si="77"/>
        <v>26800</v>
      </c>
      <c r="O119" s="154">
        <f t="shared" ref="O119:O127" ca="1" si="78">IF(L119&gt;0,N119*100/L119,0)</f>
        <v>100</v>
      </c>
      <c r="P119" s="154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20.25" customHeight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20.25" customHeight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4">I146</f>
        <v>5</v>
      </c>
      <c r="J130" s="143">
        <f t="shared" ca="1" si="84"/>
        <v>5</v>
      </c>
      <c r="K130" s="144">
        <f t="shared" ref="K130:K131" ca="1" si="85">IF(I130&gt;0,J130*100/I130,0)</f>
        <v>100</v>
      </c>
      <c r="L130" s="145"/>
      <c r="M130" s="145"/>
      <c r="N130" s="145"/>
      <c r="O130" s="145"/>
      <c r="P130" s="145"/>
    </row>
    <row r="131" spans="1:26" ht="20.25" customHeight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6">I143</f>
        <v>50</v>
      </c>
      <c r="J131" s="143">
        <f t="shared" ca="1" si="86"/>
        <v>50</v>
      </c>
      <c r="K131" s="144">
        <f t="shared" ca="1" si="85"/>
        <v>100</v>
      </c>
      <c r="L131" s="145"/>
      <c r="M131" s="145"/>
      <c r="N131" s="145"/>
      <c r="O131" s="145"/>
      <c r="P131" s="145"/>
    </row>
    <row r="132" spans="1:26" ht="20.25" customHeight="1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7">L133+L134</f>
        <v>1169175</v>
      </c>
      <c r="M132" s="154">
        <f t="shared" ca="1" si="87"/>
        <v>1169175</v>
      </c>
      <c r="N132" s="154">
        <f t="shared" ca="1" si="87"/>
        <v>1098298.2</v>
      </c>
      <c r="O132" s="154">
        <f t="shared" ref="O132:O140" ca="1" si="88">IF(L132&gt;0,N132*100/L132,0)</f>
        <v>93.937879273846946</v>
      </c>
      <c r="P132" s="154">
        <f t="shared" ref="P132:P140" ca="1" si="89">IF(M132&gt;0,N132*100/M132,0)</f>
        <v>93.937879273846946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1169175</v>
      </c>
      <c r="N134" s="45">
        <f t="shared" ca="1" si="91"/>
        <v>1098298.2</v>
      </c>
      <c r="O134" s="45">
        <f t="shared" ca="1" si="88"/>
        <v>93.937879273846946</v>
      </c>
      <c r="P134" s="45">
        <f t="shared" ca="1" si="89"/>
        <v>93.937879273846946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92">L136+L137</f>
        <v>654175</v>
      </c>
      <c r="M135" s="38">
        <f t="shared" ca="1" si="92"/>
        <v>654175</v>
      </c>
      <c r="N135" s="38">
        <f t="shared" ca="1" si="92"/>
        <v>583298.19999999995</v>
      </c>
      <c r="O135" s="38">
        <f t="shared" ca="1" si="88"/>
        <v>89.165467955822209</v>
      </c>
      <c r="P135" s="38">
        <f t="shared" ca="1" si="89"/>
        <v>89.165467955822209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"),654175)</f>
        <v>654175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"),583298.2)</f>
        <v>583298.19999999995</v>
      </c>
      <c r="O137" s="45">
        <f t="shared" ca="1" si="88"/>
        <v>89.165467955822209</v>
      </c>
      <c r="P137" s="45">
        <f t="shared" ca="1" si="89"/>
        <v>89.165467955822209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8"/>
      <c r="B142" s="33"/>
      <c r="C142" s="204"/>
      <c r="D142" s="159" t="s">
        <v>71</v>
      </c>
      <c r="E142" s="205"/>
      <c r="F142" s="33"/>
      <c r="G142" s="206"/>
      <c r="H142" s="167"/>
      <c r="I142" s="37"/>
      <c r="J142" s="181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8"/>
      <c r="B143" s="33"/>
      <c r="C143" s="204"/>
      <c r="D143" s="159" t="s">
        <v>72</v>
      </c>
      <c r="E143" s="205"/>
      <c r="F143" s="33"/>
      <c r="G143" s="206"/>
      <c r="H143" s="167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1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1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8"/>
      <c r="B146" s="33"/>
      <c r="C146" s="204"/>
      <c r="D146" s="159" t="s">
        <v>75</v>
      </c>
      <c r="E146" s="205"/>
      <c r="F146" s="33"/>
      <c r="G146" s="206"/>
      <c r="H146" s="167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1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20.25" customHeight="1">
      <c r="A148" s="207"/>
      <c r="B148" s="138" t="s">
        <v>77</v>
      </c>
      <c r="C148" s="138"/>
      <c r="D148" s="138"/>
      <c r="E148" s="208"/>
      <c r="F148" s="209"/>
      <c r="G148" s="210"/>
      <c r="H148" s="211" t="s">
        <v>35</v>
      </c>
      <c r="I148" s="143">
        <f t="shared" ref="I148:J148" ca="1" si="95">I159</f>
        <v>150</v>
      </c>
      <c r="J148" s="143">
        <f t="shared" ca="1" si="95"/>
        <v>143</v>
      </c>
      <c r="K148" s="144">
        <f ca="1">IF(I148&gt;0,J148*100/I148,0)</f>
        <v>95.333333333333329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20.25" customHeight="1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6">L150+L151</f>
        <v>75000</v>
      </c>
      <c r="M149" s="154">
        <f t="shared" ca="1" si="96"/>
        <v>106250</v>
      </c>
      <c r="N149" s="154">
        <f t="shared" ca="1" si="96"/>
        <v>96130</v>
      </c>
      <c r="O149" s="154">
        <f t="shared" ref="O149:O157" ca="1" si="97">IF(L149&gt;0,N149*100/L149,0)</f>
        <v>128.17333333333335</v>
      </c>
      <c r="P149" s="154">
        <f t="shared" ref="P149:P157" ca="1" si="98">IF(M149&gt;0,N149*100/M149,0)</f>
        <v>90.475294117647053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96130</v>
      </c>
      <c r="O151" s="45">
        <f t="shared" ca="1" si="97"/>
        <v>128.17333333333335</v>
      </c>
      <c r="P151" s="45">
        <f t="shared" ca="1" si="98"/>
        <v>90.475294117647053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96130</v>
      </c>
      <c r="O152" s="38">
        <f t="shared" ca="1" si="97"/>
        <v>128.17333333333335</v>
      </c>
      <c r="P152" s="38">
        <f t="shared" ca="1" si="98"/>
        <v>90.475294117647053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"),96130)</f>
        <v>96130</v>
      </c>
      <c r="O154" s="45">
        <f t="shared" ca="1" si="97"/>
        <v>128.17333333333335</v>
      </c>
      <c r="P154" s="45">
        <f t="shared" ca="1" si="98"/>
        <v>90.475294117647053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8"/>
      <c r="B159" s="33"/>
      <c r="C159" s="204"/>
      <c r="D159" s="159" t="s">
        <v>78</v>
      </c>
      <c r="E159" s="205"/>
      <c r="F159" s="33"/>
      <c r="G159" s="206"/>
      <c r="H159" s="167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1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"),143)</f>
        <v>143</v>
      </c>
      <c r="K159" s="38">
        <f ca="1">IF(I159&gt;0,J159*100/I159,0)</f>
        <v>95.333333333333329</v>
      </c>
      <c r="L159" s="38"/>
      <c r="M159" s="38"/>
      <c r="N159" s="38"/>
      <c r="O159" s="38"/>
      <c r="P159" s="38"/>
    </row>
    <row r="160" spans="1:26" ht="20.25" hidden="1" customHeight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20.25" hidden="1" customHeight="1">
      <c r="A161" s="215"/>
      <c r="B161" s="216"/>
      <c r="C161" s="217"/>
      <c r="D161" s="218" t="s">
        <v>80</v>
      </c>
      <c r="E161" s="219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20.25" customHeight="1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20.25" customHeight="1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20.25" customHeight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103">I174+I177</f>
        <v>194</v>
      </c>
      <c r="J164" s="242">
        <f t="shared" ca="1" si="103"/>
        <v>194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20.25" customHeight="1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4">L166+L167</f>
        <v>392970</v>
      </c>
      <c r="M165" s="154">
        <f t="shared" ca="1" si="104"/>
        <v>549670</v>
      </c>
      <c r="N165" s="154">
        <f t="shared" ca="1" si="104"/>
        <v>546837.56000000006</v>
      </c>
      <c r="O165" s="154">
        <f t="shared" ref="O165:O173" ca="1" si="105">IF(L165&gt;0,N165*100/L165,0)</f>
        <v>139.15503982492305</v>
      </c>
      <c r="P165" s="154">
        <f t="shared" ref="P165:P173" ca="1" si="106">IF(M165&gt;0,N165*100/M165,0)</f>
        <v>99.484701730129004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546837.56000000006</v>
      </c>
      <c r="O167" s="45">
        <f t="shared" ca="1" si="105"/>
        <v>139.15503982492305</v>
      </c>
      <c r="P167" s="45">
        <f t="shared" ca="1" si="106"/>
        <v>99.484701730129004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546837.56000000006</v>
      </c>
      <c r="O168" s="38">
        <f t="shared" ca="1" si="105"/>
        <v>139.15503982492305</v>
      </c>
      <c r="P168" s="38">
        <f t="shared" ca="1" si="106"/>
        <v>99.484701730129004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"),546837.56)</f>
        <v>546837.56000000006</v>
      </c>
      <c r="O170" s="45">
        <f t="shared" ca="1" si="105"/>
        <v>139.15503982492305</v>
      </c>
      <c r="P170" s="45">
        <f t="shared" ca="1" si="106"/>
        <v>99.484701730129004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111">I176</f>
        <v>194</v>
      </c>
      <c r="J174" s="250">
        <f t="shared" ca="1" si="111"/>
        <v>194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20.25" customHeight="1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20.25" customHeight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1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20.25" hidden="1" customHeight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20.25" hidden="1" customHeight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20.25" hidden="1" customHeight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20.25" customHeight="1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112">I225+I226</f>
        <v>380</v>
      </c>
      <c r="J180" s="242">
        <f t="shared" ca="1" si="112"/>
        <v>380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20.25" customHeight="1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3">L182+L183</f>
        <v>4809700</v>
      </c>
      <c r="M181" s="154">
        <f t="shared" ca="1" si="113"/>
        <v>5011460</v>
      </c>
      <c r="N181" s="154">
        <f t="shared" ca="1" si="113"/>
        <v>4348671.32</v>
      </c>
      <c r="O181" s="154">
        <f t="shared" ref="O181:O189" ca="1" si="114">IF(L181&gt;0,N181*100/L181,0)</f>
        <v>90.414606316402271</v>
      </c>
      <c r="P181" s="154">
        <f t="shared" ref="P181:P189" ca="1" si="115">IF(M181&gt;0,N181*100/M181,0)</f>
        <v>86.774539156253866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5011460</v>
      </c>
      <c r="N183" s="45">
        <f t="shared" ca="1" si="117"/>
        <v>4348671.32</v>
      </c>
      <c r="O183" s="45">
        <f t="shared" ca="1" si="114"/>
        <v>90.414606316402271</v>
      </c>
      <c r="P183" s="45">
        <f t="shared" ca="1" si="115"/>
        <v>86.774539156253866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118">L185+L186</f>
        <v>4809700</v>
      </c>
      <c r="M184" s="38">
        <f t="shared" ca="1" si="118"/>
        <v>5011460</v>
      </c>
      <c r="N184" s="38">
        <f t="shared" ca="1" si="118"/>
        <v>4348671.32</v>
      </c>
      <c r="O184" s="38">
        <f t="shared" ca="1" si="114"/>
        <v>90.414606316402271</v>
      </c>
      <c r="P184" s="38">
        <f t="shared" ca="1" si="115"/>
        <v>86.774539156253866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"),5011460)</f>
        <v>5011460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"),4348671.32)</f>
        <v>4348671.32</v>
      </c>
      <c r="O186" s="45">
        <f t="shared" ca="1" si="114"/>
        <v>90.414606316402271</v>
      </c>
      <c r="P186" s="45">
        <f t="shared" ca="1" si="115"/>
        <v>86.774539156253866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120">I193</f>
        <v>84</v>
      </c>
      <c r="J190" s="260">
        <f t="shared" ca="1" si="120"/>
        <v>63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20.25" customHeight="1">
      <c r="A191" s="146"/>
      <c r="B191" s="147"/>
      <c r="C191" s="148" t="s">
        <v>16</v>
      </c>
      <c r="D191" s="26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4"/>
      <c r="N191" s="264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"),75982)</f>
        <v>75982</v>
      </c>
      <c r="O191" s="154">
        <f ca="1">IF(L191&gt;0,N191*100/L191,0)</f>
        <v>60.303174603174604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69"/>
      <c r="B192" s="170"/>
      <c r="C192" s="204" t="s">
        <v>16</v>
      </c>
      <c r="D192" s="171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1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"),63)</f>
        <v>63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 ca="1">J195+J196</f>
        <v>2390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"),2383)</f>
        <v>2383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121">I204</f>
        <v>39</v>
      </c>
      <c r="J197" s="260">
        <f t="shared" ca="1" si="121"/>
        <v>39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20.25" customHeight="1">
      <c r="A198" s="146"/>
      <c r="B198" s="147"/>
      <c r="C198" s="148" t="s">
        <v>16</v>
      </c>
      <c r="D198" s="26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517000</v>
      </c>
      <c r="M198" s="154"/>
      <c r="N198" s="154">
        <f ca="1">N199+N200+N201+N202</f>
        <v>494180</v>
      </c>
      <c r="O198" s="154">
        <f ca="1">IF(L198&gt;0,N198*100/L198,0)</f>
        <v>95.586073500967117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270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71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"),35370)</f>
        <v>35370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270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71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20.25" customHeight="1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270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71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"),136000)</f>
        <v>136000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20.25" customHeight="1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270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71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20.25" customHeight="1">
      <c r="A203" s="169"/>
      <c r="B203" s="170"/>
      <c r="C203" s="204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1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1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"),36)</f>
        <v>36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1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22">I215</f>
        <v>17</v>
      </c>
      <c r="J208" s="260">
        <f t="shared" ca="1" si="122"/>
        <v>17</v>
      </c>
      <c r="K208" s="261">
        <f ca="1">IF(I208&gt;0,J208*100/I208,0)</f>
        <v>100</v>
      </c>
      <c r="L208" s="251"/>
      <c r="M208" s="251"/>
      <c r="N208" s="251"/>
      <c r="O208" s="251"/>
      <c r="P208" s="251"/>
    </row>
    <row r="209" spans="1:26" ht="20.25" customHeight="1">
      <c r="A209" s="146"/>
      <c r="B209" s="147"/>
      <c r="C209" s="148" t="s">
        <v>16</v>
      </c>
      <c r="D209" s="26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238000</v>
      </c>
      <c r="M209" s="154"/>
      <c r="N209" s="154">
        <f ca="1">N210+N211+N212</f>
        <v>238000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71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71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20.25" customHeight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71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20.25" customHeight="1">
      <c r="A213" s="169"/>
      <c r="B213" s="170"/>
      <c r="C213" s="279" t="s">
        <v>16</v>
      </c>
      <c r="D213" s="171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1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1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24">I224</f>
        <v>470200</v>
      </c>
      <c r="J216" s="260">
        <f t="shared" ca="1" si="124"/>
        <v>291000</v>
      </c>
      <c r="K216" s="261">
        <f t="shared" ca="1" si="123"/>
        <v>61.888558060399831</v>
      </c>
      <c r="L216" s="251"/>
      <c r="M216" s="251"/>
      <c r="N216" s="251"/>
      <c r="O216" s="251"/>
      <c r="P216" s="251"/>
    </row>
    <row r="217" spans="1:26" ht="20.25" customHeight="1">
      <c r="A217" s="146"/>
      <c r="B217" s="147"/>
      <c r="C217" s="148" t="s">
        <v>16</v>
      </c>
      <c r="D217" s="26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247700</v>
      </c>
      <c r="M217" s="154"/>
      <c r="N217" s="154">
        <f ca="1">N218+N219+N220</f>
        <v>121960</v>
      </c>
      <c r="O217" s="154">
        <f ca="1">IF(L217&gt;0,N217*100/L217,0)</f>
        <v>49.236980218005655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71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"),36660)</f>
        <v>36660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71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"),45300)</f>
        <v>45300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20.25" customHeight="1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71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20.25" customHeight="1">
      <c r="A221" s="169"/>
      <c r="B221" s="170"/>
      <c r="C221" s="279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1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"),426000)</f>
        <v>426000</v>
      </c>
      <c r="K223" s="162">
        <f t="shared" ref="K223:K226" ca="1" si="125">IF(I223&gt;0,J223*100/I223,0)</f>
        <v>90.599744789451293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1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"),291000)</f>
        <v>291000</v>
      </c>
      <c r="K224" s="162">
        <f t="shared" ca="1" si="125"/>
        <v>61.888558060399831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1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2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80"/>
      <c r="B226" s="281"/>
      <c r="C226" s="282" t="s">
        <v>115</v>
      </c>
      <c r="D226" s="283"/>
      <c r="E226" s="283"/>
      <c r="F226" s="283"/>
      <c r="G226" s="284"/>
      <c r="H226" s="285" t="s">
        <v>35</v>
      </c>
      <c r="I226" s="286">
        <f t="shared" ref="I226:J226" ca="1" si="126">I237+I248</f>
        <v>340</v>
      </c>
      <c r="J226" s="286">
        <f t="shared" ca="1" si="126"/>
        <v>340</v>
      </c>
      <c r="K226" s="287">
        <f t="shared" ca="1" si="125"/>
        <v>100</v>
      </c>
      <c r="L226" s="288"/>
      <c r="M226" s="288"/>
      <c r="N226" s="288"/>
      <c r="O226" s="288"/>
      <c r="P226" s="288"/>
      <c r="Q226" s="289"/>
      <c r="R226" s="289"/>
      <c r="S226" s="289"/>
      <c r="T226" s="289"/>
      <c r="U226" s="289"/>
      <c r="V226" s="289"/>
      <c r="W226" s="289"/>
      <c r="X226" s="289"/>
      <c r="Y226" s="289"/>
      <c r="Z226" s="289"/>
    </row>
    <row r="227" spans="1:26" ht="20.25" customHeight="1">
      <c r="A227" s="290"/>
      <c r="B227" s="291"/>
      <c r="C227" s="292" t="s">
        <v>16</v>
      </c>
      <c r="D227" s="293" t="s">
        <v>17</v>
      </c>
      <c r="E227" s="291"/>
      <c r="F227" s="291"/>
      <c r="G227" s="294"/>
      <c r="H227" s="295" t="s">
        <v>12</v>
      </c>
      <c r="I227" s="296"/>
      <c r="J227" s="296"/>
      <c r="K227" s="297"/>
      <c r="L227" s="298">
        <f t="shared" ref="L227:L231" ca="1" si="127">L238+L249</f>
        <v>1520400</v>
      </c>
      <c r="M227" s="298"/>
      <c r="N227" s="298">
        <f t="shared" ref="N227:N231" ca="1" si="128">N238+N249</f>
        <v>1326894.07</v>
      </c>
      <c r="O227" s="299"/>
      <c r="P227" s="299"/>
      <c r="Q227" s="300"/>
      <c r="R227" s="300"/>
      <c r="S227" s="300"/>
      <c r="T227" s="300"/>
      <c r="U227" s="300"/>
      <c r="V227" s="300"/>
      <c r="W227" s="300"/>
      <c r="X227" s="300"/>
      <c r="Y227" s="300"/>
      <c r="Z227" s="300"/>
    </row>
    <row r="228" spans="1:26" ht="20.25" customHeight="1">
      <c r="A228" s="301"/>
      <c r="B228" s="302"/>
      <c r="C228" s="303"/>
      <c r="D228" s="304" t="s">
        <v>97</v>
      </c>
      <c r="E228" s="303"/>
      <c r="F228" s="303"/>
      <c r="G228" s="305"/>
      <c r="H228" s="306" t="s">
        <v>12</v>
      </c>
      <c r="I228" s="307"/>
      <c r="J228" s="307"/>
      <c r="K228" s="308"/>
      <c r="L228" s="270">
        <f t="shared" ca="1" si="127"/>
        <v>686000</v>
      </c>
      <c r="M228" s="270"/>
      <c r="N228" s="270">
        <f t="shared" ca="1" si="128"/>
        <v>522264.07</v>
      </c>
      <c r="O228" s="270"/>
      <c r="P228" s="27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</row>
    <row r="229" spans="1:26" ht="20.25" customHeight="1">
      <c r="A229" s="309"/>
      <c r="B229" s="302"/>
      <c r="C229" s="310"/>
      <c r="D229" s="304" t="s">
        <v>98</v>
      </c>
      <c r="E229" s="303"/>
      <c r="F229" s="303"/>
      <c r="G229" s="305"/>
      <c r="H229" s="306" t="s">
        <v>12</v>
      </c>
      <c r="I229" s="311"/>
      <c r="J229" s="311"/>
      <c r="K229" s="270"/>
      <c r="L229" s="270">
        <f t="shared" ca="1" si="127"/>
        <v>431900</v>
      </c>
      <c r="M229" s="270"/>
      <c r="N229" s="270">
        <f t="shared" ca="1" si="128"/>
        <v>402340</v>
      </c>
      <c r="O229" s="270"/>
      <c r="P229" s="270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20.25" customHeight="1">
      <c r="A230" s="309"/>
      <c r="B230" s="302"/>
      <c r="C230" s="310"/>
      <c r="D230" s="304" t="s">
        <v>116</v>
      </c>
      <c r="E230" s="303"/>
      <c r="F230" s="303"/>
      <c r="G230" s="305"/>
      <c r="H230" s="306" t="s">
        <v>12</v>
      </c>
      <c r="I230" s="311"/>
      <c r="J230" s="311"/>
      <c r="K230" s="270"/>
      <c r="L230" s="270">
        <f t="shared" ca="1" si="127"/>
        <v>252500</v>
      </c>
      <c r="M230" s="270"/>
      <c r="N230" s="270">
        <f t="shared" ca="1" si="128"/>
        <v>252500</v>
      </c>
      <c r="O230" s="270"/>
      <c r="P230" s="270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20.25" customHeight="1">
      <c r="A231" s="309"/>
      <c r="B231" s="302"/>
      <c r="C231" s="310"/>
      <c r="D231" s="304" t="s">
        <v>100</v>
      </c>
      <c r="E231" s="303"/>
      <c r="F231" s="303"/>
      <c r="G231" s="305"/>
      <c r="H231" s="306" t="s">
        <v>12</v>
      </c>
      <c r="I231" s="311"/>
      <c r="J231" s="311"/>
      <c r="K231" s="270"/>
      <c r="L231" s="270">
        <f t="shared" ca="1" si="127"/>
        <v>150000</v>
      </c>
      <c r="M231" s="270"/>
      <c r="N231" s="270">
        <f t="shared" ca="1" si="128"/>
        <v>149790</v>
      </c>
      <c r="O231" s="270"/>
      <c r="P231" s="270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20.25" customHeight="1">
      <c r="A232" s="313"/>
      <c r="B232" s="314"/>
      <c r="C232" s="310" t="s">
        <v>16</v>
      </c>
      <c r="D232" s="315" t="s">
        <v>38</v>
      </c>
      <c r="E232" s="316"/>
      <c r="F232" s="316"/>
      <c r="G232" s="317"/>
      <c r="H232" s="318"/>
      <c r="I232" s="307"/>
      <c r="J232" s="311"/>
      <c r="K232" s="270"/>
      <c r="L232" s="270"/>
      <c r="M232" s="270"/>
      <c r="N232" s="270"/>
      <c r="O232" s="308"/>
      <c r="P232" s="308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</row>
    <row r="233" spans="1:26" ht="20.25" customHeight="1">
      <c r="A233" s="313"/>
      <c r="B233" s="314"/>
      <c r="C233" s="314"/>
      <c r="D233" s="319" t="s">
        <v>117</v>
      </c>
      <c r="E233" s="320"/>
      <c r="F233" s="320"/>
      <c r="G233" s="321"/>
      <c r="H233" s="322" t="s">
        <v>35</v>
      </c>
      <c r="I233" s="311">
        <f t="shared" ref="I233:J233" ca="1" si="129">I244+I255</f>
        <v>340</v>
      </c>
      <c r="J233" s="311">
        <f t="shared" ca="1" si="129"/>
        <v>340</v>
      </c>
      <c r="K233" s="270">
        <f ca="1">IF(I233&gt;0,J233*100/I233,0)</f>
        <v>100</v>
      </c>
      <c r="L233" s="270"/>
      <c r="M233" s="270"/>
      <c r="N233" s="270"/>
      <c r="O233" s="270"/>
      <c r="P233" s="27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</row>
    <row r="234" spans="1:26" ht="20.25" customHeight="1">
      <c r="A234" s="313"/>
      <c r="B234" s="314"/>
      <c r="C234" s="314"/>
      <c r="D234" s="323" t="s">
        <v>43</v>
      </c>
      <c r="E234" s="320"/>
      <c r="F234" s="320"/>
      <c r="G234" s="321"/>
      <c r="H234" s="322"/>
      <c r="I234" s="311"/>
      <c r="J234" s="311"/>
      <c r="K234" s="270"/>
      <c r="L234" s="270"/>
      <c r="M234" s="270"/>
      <c r="N234" s="270"/>
      <c r="O234" s="308"/>
      <c r="P234" s="308"/>
      <c r="Q234" s="300"/>
      <c r="R234" s="300"/>
      <c r="S234" s="300"/>
      <c r="T234" s="300"/>
      <c r="U234" s="300"/>
      <c r="V234" s="300"/>
      <c r="W234" s="300"/>
      <c r="X234" s="300"/>
      <c r="Y234" s="300"/>
      <c r="Z234" s="300"/>
    </row>
    <row r="235" spans="1:26" ht="20.25" customHeight="1">
      <c r="A235" s="313"/>
      <c r="B235" s="314"/>
      <c r="C235" s="314"/>
      <c r="D235" s="314"/>
      <c r="E235" s="324" t="s">
        <v>118</v>
      </c>
      <c r="F235" s="320"/>
      <c r="G235" s="321"/>
      <c r="H235" s="322" t="s">
        <v>35</v>
      </c>
      <c r="I235" s="311">
        <f t="shared" ref="I235:J235" ca="1" si="130">I246+I257</f>
        <v>280</v>
      </c>
      <c r="J235" s="311">
        <f t="shared" ca="1" si="130"/>
        <v>280</v>
      </c>
      <c r="K235" s="270">
        <f t="shared" ref="K235:K237" ca="1" si="131">IF(I235&gt;0,J235*100/I235,0)</f>
        <v>100</v>
      </c>
      <c r="L235" s="270"/>
      <c r="M235" s="270"/>
      <c r="N235" s="270"/>
      <c r="O235" s="270"/>
      <c r="P235" s="27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</row>
    <row r="236" spans="1:26" ht="20.25" customHeight="1">
      <c r="A236" s="313"/>
      <c r="B236" s="314"/>
      <c r="C236" s="314"/>
      <c r="D236" s="314"/>
      <c r="E236" s="324" t="s">
        <v>119</v>
      </c>
      <c r="F236" s="320"/>
      <c r="G236" s="321"/>
      <c r="H236" s="322" t="s">
        <v>66</v>
      </c>
      <c r="I236" s="311">
        <f t="shared" ref="I236:J236" ca="1" si="132">I247+I258</f>
        <v>13</v>
      </c>
      <c r="J236" s="311">
        <f t="shared" ca="1" si="132"/>
        <v>13</v>
      </c>
      <c r="K236" s="270">
        <f t="shared" ca="1" si="131"/>
        <v>100</v>
      </c>
      <c r="L236" s="270"/>
      <c r="M236" s="270"/>
      <c r="N236" s="270"/>
      <c r="O236" s="270"/>
      <c r="P236" s="27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</row>
    <row r="237" spans="1:26" ht="20.25" hidden="1" customHeight="1">
      <c r="A237" s="325"/>
      <c r="B237" s="326"/>
      <c r="C237" s="327" t="s">
        <v>120</v>
      </c>
      <c r="D237" s="328"/>
      <c r="E237" s="328"/>
      <c r="F237" s="328"/>
      <c r="G237" s="329"/>
      <c r="H237" s="255" t="s">
        <v>35</v>
      </c>
      <c r="I237" s="330">
        <f t="shared" ref="I237:J237" ca="1" si="133">I244</f>
        <v>270</v>
      </c>
      <c r="J237" s="330">
        <f t="shared" ca="1" si="133"/>
        <v>270</v>
      </c>
      <c r="K237" s="331">
        <f t="shared" ca="1" si="131"/>
        <v>100</v>
      </c>
      <c r="L237" s="332"/>
      <c r="M237" s="332"/>
      <c r="N237" s="332"/>
      <c r="O237" s="332"/>
      <c r="P237" s="332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</row>
    <row r="238" spans="1:26" ht="20.25" hidden="1" customHeight="1">
      <c r="A238" s="333"/>
      <c r="B238" s="334"/>
      <c r="C238" s="335" t="s">
        <v>16</v>
      </c>
      <c r="D238" s="336" t="s">
        <v>17</v>
      </c>
      <c r="E238" s="334"/>
      <c r="F238" s="334"/>
      <c r="G238" s="337"/>
      <c r="H238" s="338" t="s">
        <v>12</v>
      </c>
      <c r="I238" s="339"/>
      <c r="J238" s="339"/>
      <c r="K238" s="340"/>
      <c r="L238" s="341">
        <f ca="1">L239+L240+L241+L242</f>
        <v>1328300</v>
      </c>
      <c r="M238" s="341"/>
      <c r="N238" s="341">
        <f ca="1">N239+N240+N241+N242</f>
        <v>1137424.07</v>
      </c>
      <c r="O238" s="341">
        <f ca="1">IF(L238&gt;0,N238*100/L238,0)</f>
        <v>85.630058721674317</v>
      </c>
      <c r="P238" s="341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5"/>
      <c r="B239" s="342"/>
      <c r="C239" s="40"/>
      <c r="D239" s="41" t="s">
        <v>97</v>
      </c>
      <c r="E239" s="40"/>
      <c r="F239" s="40"/>
      <c r="G239" s="42"/>
      <c r="H239" s="164" t="s">
        <v>12</v>
      </c>
      <c r="I239" s="165"/>
      <c r="J239" s="165"/>
      <c r="K239" s="166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43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"),480054.07)</f>
        <v>480054.07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44"/>
      <c r="B240" s="342"/>
      <c r="C240" s="345"/>
      <c r="D240" s="41" t="s">
        <v>98</v>
      </c>
      <c r="E240" s="40"/>
      <c r="F240" s="40"/>
      <c r="G240" s="42"/>
      <c r="H240" s="164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43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"),335080)</f>
        <v>335080</v>
      </c>
      <c r="O240" s="45"/>
      <c r="P240" s="45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</row>
    <row r="241" spans="1:26" ht="20.25" hidden="1" customHeight="1">
      <c r="A241" s="344"/>
      <c r="B241" s="342"/>
      <c r="C241" s="345"/>
      <c r="D241" s="41" t="s">
        <v>116</v>
      </c>
      <c r="E241" s="40"/>
      <c r="F241" s="40"/>
      <c r="G241" s="42"/>
      <c r="H241" s="164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43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5"/>
      <c r="P241" s="45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</row>
    <row r="242" spans="1:26" ht="20.25" hidden="1" customHeight="1">
      <c r="A242" s="344"/>
      <c r="B242" s="342"/>
      <c r="C242" s="345"/>
      <c r="D242" s="41" t="s">
        <v>100</v>
      </c>
      <c r="E242" s="40"/>
      <c r="F242" s="40"/>
      <c r="G242" s="42"/>
      <c r="H242" s="164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43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5"/>
      <c r="P242" s="45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</row>
    <row r="243" spans="1:26" ht="20.25" hidden="1" customHeight="1">
      <c r="A243" s="347"/>
      <c r="B243" s="348"/>
      <c r="C243" s="345" t="s">
        <v>16</v>
      </c>
      <c r="D243" s="256" t="s">
        <v>38</v>
      </c>
      <c r="E243" s="349"/>
      <c r="F243" s="349"/>
      <c r="G243" s="350"/>
      <c r="H243" s="351"/>
      <c r="I243" s="165"/>
      <c r="J243" s="44"/>
      <c r="K243" s="45"/>
      <c r="L243" s="45"/>
      <c r="M243" s="45"/>
      <c r="N243" s="45"/>
      <c r="O243" s="166"/>
      <c r="P243" s="166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47"/>
      <c r="B244" s="348"/>
      <c r="C244" s="348"/>
      <c r="D244" s="258" t="s">
        <v>117</v>
      </c>
      <c r="E244" s="352"/>
      <c r="F244" s="352"/>
      <c r="G244" s="353"/>
      <c r="H244" s="354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55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47"/>
      <c r="B245" s="348"/>
      <c r="C245" s="348"/>
      <c r="D245" s="356" t="s">
        <v>43</v>
      </c>
      <c r="E245" s="352"/>
      <c r="F245" s="352"/>
      <c r="G245" s="353"/>
      <c r="H245" s="354"/>
      <c r="I245" s="44"/>
      <c r="J245" s="44"/>
      <c r="K245" s="45"/>
      <c r="L245" s="45"/>
      <c r="M245" s="45"/>
      <c r="N245" s="45"/>
      <c r="O245" s="166"/>
      <c r="P245" s="166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47"/>
      <c r="B246" s="348"/>
      <c r="C246" s="348"/>
      <c r="D246" s="348"/>
      <c r="E246" s="257" t="s">
        <v>118</v>
      </c>
      <c r="F246" s="352"/>
      <c r="G246" s="353"/>
      <c r="H246" s="354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55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"),250)</f>
        <v>250</v>
      </c>
      <c r="K246" s="45">
        <f t="shared" ref="K246:K248" ca="1" si="134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47"/>
      <c r="B247" s="348"/>
      <c r="C247" s="348"/>
      <c r="D247" s="348"/>
      <c r="E247" s="257" t="s">
        <v>119</v>
      </c>
      <c r="F247" s="352"/>
      <c r="G247" s="353"/>
      <c r="H247" s="354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55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"),11)</f>
        <v>11</v>
      </c>
      <c r="K247" s="45">
        <f t="shared" ca="1" si="134"/>
        <v>100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25"/>
      <c r="B248" s="326"/>
      <c r="C248" s="327" t="s">
        <v>121</v>
      </c>
      <c r="D248" s="328"/>
      <c r="E248" s="328"/>
      <c r="F248" s="328"/>
      <c r="G248" s="329"/>
      <c r="H248" s="255" t="s">
        <v>35</v>
      </c>
      <c r="I248" s="330">
        <f t="shared" ref="I248:J248" ca="1" si="135">I255</f>
        <v>70</v>
      </c>
      <c r="J248" s="330">
        <f t="shared" ca="1" si="135"/>
        <v>70</v>
      </c>
      <c r="K248" s="331">
        <f t="shared" ca="1" si="134"/>
        <v>100</v>
      </c>
      <c r="L248" s="332"/>
      <c r="M248" s="332"/>
      <c r="N248" s="332"/>
      <c r="O248" s="332"/>
      <c r="P248" s="332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</row>
    <row r="249" spans="1:26" ht="20.25" hidden="1" customHeight="1">
      <c r="A249" s="333"/>
      <c r="B249" s="334"/>
      <c r="C249" s="335" t="s">
        <v>16</v>
      </c>
      <c r="D249" s="357" t="s">
        <v>17</v>
      </c>
      <c r="E249" s="334"/>
      <c r="F249" s="334"/>
      <c r="G249" s="337"/>
      <c r="H249" s="338" t="s">
        <v>12</v>
      </c>
      <c r="I249" s="339"/>
      <c r="J249" s="339"/>
      <c r="K249" s="340"/>
      <c r="L249" s="341">
        <f ca="1">L250+L251+L252+L253</f>
        <v>192100</v>
      </c>
      <c r="M249" s="341"/>
      <c r="N249" s="341">
        <f ca="1">N250+N251+N252+N253</f>
        <v>189470</v>
      </c>
      <c r="O249" s="341">
        <f ca="1">IF(L249&gt;0,N249*100/L249,0)</f>
        <v>98.630921395106711</v>
      </c>
      <c r="P249" s="341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5"/>
      <c r="B250" s="342"/>
      <c r="C250" s="40"/>
      <c r="D250" s="41" t="s">
        <v>97</v>
      </c>
      <c r="E250" s="40"/>
      <c r="F250" s="40"/>
      <c r="G250" s="42"/>
      <c r="H250" s="164" t="s">
        <v>12</v>
      </c>
      <c r="I250" s="165"/>
      <c r="J250" s="165"/>
      <c r="K250" s="166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43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"),42210)</f>
        <v>42210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44"/>
      <c r="B251" s="342"/>
      <c r="C251" s="345"/>
      <c r="D251" s="41" t="s">
        <v>98</v>
      </c>
      <c r="E251" s="40"/>
      <c r="F251" s="40"/>
      <c r="G251" s="42"/>
      <c r="H251" s="164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43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</row>
    <row r="252" spans="1:26" ht="20.25" hidden="1" customHeight="1">
      <c r="A252" s="344"/>
      <c r="B252" s="342"/>
      <c r="C252" s="345"/>
      <c r="D252" s="41" t="s">
        <v>116</v>
      </c>
      <c r="E252" s="40"/>
      <c r="F252" s="40"/>
      <c r="G252" s="42"/>
      <c r="H252" s="164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43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</row>
    <row r="253" spans="1:26" ht="20.25" hidden="1" customHeight="1">
      <c r="A253" s="344"/>
      <c r="B253" s="342"/>
      <c r="C253" s="345"/>
      <c r="D253" s="41" t="s">
        <v>100</v>
      </c>
      <c r="E253" s="40"/>
      <c r="F253" s="40"/>
      <c r="G253" s="42"/>
      <c r="H253" s="164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43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</row>
    <row r="254" spans="1:26" ht="20.25" hidden="1" customHeight="1">
      <c r="A254" s="347"/>
      <c r="B254" s="348"/>
      <c r="C254" s="345" t="s">
        <v>16</v>
      </c>
      <c r="D254" s="256" t="s">
        <v>38</v>
      </c>
      <c r="E254" s="349"/>
      <c r="F254" s="349"/>
      <c r="G254" s="350"/>
      <c r="H254" s="351"/>
      <c r="I254" s="165"/>
      <c r="J254" s="44"/>
      <c r="K254" s="45"/>
      <c r="L254" s="45"/>
      <c r="M254" s="45"/>
      <c r="N254" s="45"/>
      <c r="O254" s="166"/>
      <c r="P254" s="166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47"/>
      <c r="B255" s="348"/>
      <c r="C255" s="348"/>
      <c r="D255" s="258" t="s">
        <v>117</v>
      </c>
      <c r="E255" s="352"/>
      <c r="F255" s="352"/>
      <c r="G255" s="353"/>
      <c r="H255" s="354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55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47"/>
      <c r="B256" s="348"/>
      <c r="C256" s="348"/>
      <c r="D256" s="356" t="s">
        <v>43</v>
      </c>
      <c r="E256" s="352"/>
      <c r="F256" s="352"/>
      <c r="G256" s="353"/>
      <c r="H256" s="354"/>
      <c r="I256" s="44"/>
      <c r="J256" s="44"/>
      <c r="K256" s="45"/>
      <c r="L256" s="45"/>
      <c r="M256" s="45"/>
      <c r="N256" s="45"/>
      <c r="O256" s="166"/>
      <c r="P256" s="166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47"/>
      <c r="B257" s="348"/>
      <c r="C257" s="348"/>
      <c r="D257" s="348"/>
      <c r="E257" s="257" t="s">
        <v>118</v>
      </c>
      <c r="F257" s="352"/>
      <c r="G257" s="353"/>
      <c r="H257" s="354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55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47"/>
      <c r="B258" s="348"/>
      <c r="C258" s="348"/>
      <c r="D258" s="348"/>
      <c r="E258" s="257" t="s">
        <v>119</v>
      </c>
      <c r="F258" s="352"/>
      <c r="G258" s="353"/>
      <c r="H258" s="354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55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20.25" customHeight="1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37">I271</f>
        <v>440</v>
      </c>
      <c r="J260" s="242">
        <f t="shared" ca="1" si="137"/>
        <v>440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20.25" customHeight="1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8">L262+L263</f>
        <v>830000</v>
      </c>
      <c r="M261" s="154">
        <f t="shared" ca="1" si="138"/>
        <v>830000</v>
      </c>
      <c r="N261" s="154">
        <f t="shared" ca="1" si="138"/>
        <v>686095.679999999</v>
      </c>
      <c r="O261" s="154">
        <f t="shared" ref="O261:O269" ca="1" si="139">IF(L261&gt;0,N261*100/L261,0)</f>
        <v>82.662130120481805</v>
      </c>
      <c r="P261" s="154">
        <f t="shared" ref="P261:P269" ca="1" si="140">IF(M261&gt;0,N261*100/M261,0)</f>
        <v>82.662130120481805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830000</v>
      </c>
      <c r="N263" s="45">
        <f t="shared" ca="1" si="142"/>
        <v>686095.679999999</v>
      </c>
      <c r="O263" s="45">
        <f t="shared" ca="1" si="139"/>
        <v>82.662130120481805</v>
      </c>
      <c r="P263" s="45">
        <f t="shared" ca="1" si="140"/>
        <v>82.662130120481805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43">L265+L266</f>
        <v>830000</v>
      </c>
      <c r="M264" s="38">
        <f t="shared" ca="1" si="143"/>
        <v>830000</v>
      </c>
      <c r="N264" s="38">
        <f t="shared" ca="1" si="143"/>
        <v>686095.679999999</v>
      </c>
      <c r="O264" s="38">
        <f t="shared" ca="1" si="139"/>
        <v>82.662130120481805</v>
      </c>
      <c r="P264" s="38">
        <f t="shared" ca="1" si="140"/>
        <v>82.662130120481805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"),686095.679999999)</f>
        <v>686095.679999999</v>
      </c>
      <c r="O266" s="45">
        <f t="shared" ca="1" si="139"/>
        <v>82.662130120481805</v>
      </c>
      <c r="P266" s="45">
        <f t="shared" ca="1" si="140"/>
        <v>82.662130120481805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20.25" customHeight="1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1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"),440)</f>
        <v>440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20.25" hidden="1" customHeight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20.25" customHeight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20.25" customHeight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20.25" customHeight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45">I288</f>
        <v>150</v>
      </c>
      <c r="J275" s="387">
        <f t="shared" ca="1" si="145"/>
        <v>110</v>
      </c>
      <c r="K275" s="388">
        <f t="shared" ref="K275:K276" ca="1" si="146">IF(I275&gt;0,J275*100/I275,0)</f>
        <v>73.333333333333329</v>
      </c>
      <c r="L275" s="389"/>
      <c r="M275" s="389"/>
      <c r="N275" s="389"/>
      <c r="O275" s="389"/>
      <c r="P275" s="389"/>
    </row>
    <row r="276" spans="1:26" ht="20.25" customHeight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47">I287</f>
        <v>1500</v>
      </c>
      <c r="J276" s="387">
        <f t="shared" ca="1" si="147"/>
        <v>1200</v>
      </c>
      <c r="K276" s="388">
        <f t="shared" ca="1" si="146"/>
        <v>80</v>
      </c>
      <c r="L276" s="389"/>
      <c r="M276" s="389"/>
      <c r="N276" s="389"/>
      <c r="O276" s="389"/>
      <c r="P276" s="389"/>
    </row>
    <row r="277" spans="1:26" ht="20.25" customHeight="1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8">L278+L279</f>
        <v>963020</v>
      </c>
      <c r="M277" s="154">
        <f t="shared" ca="1" si="148"/>
        <v>963020</v>
      </c>
      <c r="N277" s="154">
        <f t="shared" ca="1" si="148"/>
        <v>793193.97</v>
      </c>
      <c r="O277" s="154">
        <f t="shared" ref="O277:O285" ca="1" si="149">IF(L277&gt;0,N277*100/L277,0)</f>
        <v>82.365264480488463</v>
      </c>
      <c r="P277" s="154">
        <f t="shared" ref="P277:P285" ca="1" si="150">IF(M277&gt;0,N277*100/M277,0)</f>
        <v>82.365264480488463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963020</v>
      </c>
      <c r="N279" s="45">
        <f t="shared" ca="1" si="152"/>
        <v>793193.97</v>
      </c>
      <c r="O279" s="45">
        <f t="shared" ca="1" si="149"/>
        <v>82.365264480488463</v>
      </c>
      <c r="P279" s="45">
        <f t="shared" ca="1" si="150"/>
        <v>82.365264480488463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53">L281+L282</f>
        <v>963020</v>
      </c>
      <c r="M280" s="38">
        <f t="shared" ca="1" si="153"/>
        <v>963020</v>
      </c>
      <c r="N280" s="38">
        <f t="shared" ca="1" si="153"/>
        <v>793193.97</v>
      </c>
      <c r="O280" s="38">
        <f t="shared" ca="1" si="149"/>
        <v>82.365264480488463</v>
      </c>
      <c r="P280" s="38">
        <f t="shared" ca="1" si="150"/>
        <v>82.365264480488463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"),793193.97)</f>
        <v>793193.97</v>
      </c>
      <c r="O282" s="45">
        <f t="shared" ca="1" si="149"/>
        <v>82.365264480488463</v>
      </c>
      <c r="P282" s="45">
        <f t="shared" ca="1" si="150"/>
        <v>82.365264480488463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20.25" customHeight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1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2">
        <f t="shared" ref="K287:K288" ca="1" si="155">IF(I287&gt;0,J287*100/I287,0)</f>
        <v>80</v>
      </c>
      <c r="L287" s="162"/>
      <c r="M287" s="162"/>
      <c r="N287" s="162"/>
      <c r="O287" s="162"/>
      <c r="P287" s="162"/>
    </row>
    <row r="288" spans="1:26" ht="20.25" customHeight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0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"),110)</f>
        <v>110</v>
      </c>
      <c r="K288" s="390">
        <f t="shared" ca="1" si="155"/>
        <v>73.333333333333329</v>
      </c>
      <c r="L288" s="162"/>
      <c r="M288" s="162"/>
      <c r="N288" s="162"/>
      <c r="O288" s="162"/>
      <c r="P288" s="162"/>
    </row>
    <row r="289" spans="1:26" ht="20.25" customHeight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20.25" customHeight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1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2">
        <f t="shared" ref="K290:K291" ca="1" si="156">IF(I290&gt;0,J290*100/I290,0)</f>
        <v>100</v>
      </c>
      <c r="L290" s="162"/>
      <c r="M290" s="162"/>
      <c r="N290" s="162"/>
      <c r="O290" s="162"/>
      <c r="P290" s="162"/>
    </row>
    <row r="291" spans="1:26" ht="20.25" customHeight="1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1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2">
        <f t="shared" ca="1" si="156"/>
        <v>100</v>
      </c>
      <c r="L291" s="162"/>
      <c r="M291" s="162"/>
      <c r="N291" s="162"/>
      <c r="O291" s="162"/>
      <c r="P291" s="162"/>
    </row>
    <row r="292" spans="1:26" ht="20.25" customHeight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20.25" customHeight="1">
      <c r="A293" s="169"/>
      <c r="B293" s="170"/>
      <c r="C293" s="170"/>
      <c r="D293" s="391"/>
      <c r="E293" s="184" t="s">
        <v>135</v>
      </c>
      <c r="F293" s="177"/>
      <c r="G293" s="178"/>
      <c r="H293" s="180" t="s">
        <v>35</v>
      </c>
      <c r="I293" s="161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1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"),110)</f>
        <v>110</v>
      </c>
      <c r="K293" s="162">
        <f t="shared" ref="K293:K294" ca="1" si="157">IF(I293&gt;0,J293*100/I293,0)</f>
        <v>73.333333333333329</v>
      </c>
      <c r="L293" s="162"/>
      <c r="M293" s="162"/>
      <c r="N293" s="162"/>
      <c r="O293" s="162"/>
      <c r="P293" s="162"/>
    </row>
    <row r="294" spans="1:26" ht="20.25" customHeight="1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01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"),110)</f>
        <v>110</v>
      </c>
      <c r="K294" s="366">
        <f t="shared" ca="1" si="157"/>
        <v>73.333333333333329</v>
      </c>
      <c r="L294" s="366"/>
      <c r="M294" s="366"/>
      <c r="N294" s="366"/>
      <c r="O294" s="366"/>
      <c r="P294" s="366"/>
    </row>
    <row r="295" spans="1:26" ht="20.25" customHeight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20.25" customHeight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20.25" customHeight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58">I309</f>
        <v>225</v>
      </c>
      <c r="J297" s="421">
        <f t="shared" ca="1" si="158"/>
        <v>225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20.25" customHeight="1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9">L299+L300</f>
        <v>2220000</v>
      </c>
      <c r="M298" s="154">
        <f t="shared" ca="1" si="159"/>
        <v>2290910</v>
      </c>
      <c r="N298" s="154">
        <f t="shared" ca="1" si="159"/>
        <v>1916231.54999999</v>
      </c>
      <c r="O298" s="154">
        <f t="shared" ref="O298:O306" ca="1" si="160">IF(L298&gt;0,N298*100/L298,0)</f>
        <v>86.31673648648605</v>
      </c>
      <c r="P298" s="154">
        <f t="shared" ref="P298:P306" ca="1" si="161">IF(M298&gt;0,N298*100/M298,0)</f>
        <v>83.644994783731804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2290910</v>
      </c>
      <c r="N300" s="45">
        <f t="shared" ca="1" si="163"/>
        <v>1916231.54999999</v>
      </c>
      <c r="O300" s="45">
        <f t="shared" ca="1" si="160"/>
        <v>86.31673648648605</v>
      </c>
      <c r="P300" s="45">
        <f t="shared" ca="1" si="161"/>
        <v>83.644994783731804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64">L302+L303</f>
        <v>2220000</v>
      </c>
      <c r="M301" s="38">
        <f t="shared" ca="1" si="164"/>
        <v>2290910</v>
      </c>
      <c r="N301" s="38">
        <f t="shared" ca="1" si="164"/>
        <v>1916231.54999999</v>
      </c>
      <c r="O301" s="38">
        <f t="shared" ca="1" si="160"/>
        <v>86.31673648648605</v>
      </c>
      <c r="P301" s="38">
        <f t="shared" ca="1" si="161"/>
        <v>83.644994783731804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"),2290910)</f>
        <v>2290910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"),1916231.54999999)</f>
        <v>1916231.54999999</v>
      </c>
      <c r="O303" s="45">
        <f t="shared" ca="1" si="160"/>
        <v>86.31673648648605</v>
      </c>
      <c r="P303" s="45">
        <f t="shared" ca="1" si="161"/>
        <v>83.644994783731804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1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1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"),210)</f>
        <v>210</v>
      </c>
      <c r="K310" s="38">
        <f t="shared" ca="1" si="166"/>
        <v>93.333333333333329</v>
      </c>
      <c r="L310" s="38"/>
      <c r="M310" s="38"/>
      <c r="N310" s="38"/>
      <c r="O310" s="38"/>
      <c r="P310" s="38"/>
    </row>
    <row r="311" spans="1:26" ht="20.25" customHeight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1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"),110)</f>
        <v>110</v>
      </c>
      <c r="K311" s="38">
        <f t="shared" ca="1" si="166"/>
        <v>48.888888888888886</v>
      </c>
      <c r="L311" s="38"/>
      <c r="M311" s="38"/>
      <c r="N311" s="38"/>
      <c r="O311" s="38"/>
      <c r="P311" s="38"/>
    </row>
    <row r="312" spans="1:26" ht="20.25" customHeight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1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"),27)</f>
        <v>27</v>
      </c>
      <c r="K312" s="38">
        <f t="shared" ca="1" si="166"/>
        <v>60</v>
      </c>
      <c r="L312" s="38"/>
      <c r="M312" s="38"/>
      <c r="N312" s="38"/>
      <c r="O312" s="38"/>
      <c r="P312" s="38"/>
    </row>
    <row r="313" spans="1:26" ht="20.25" customHeight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20.25" customHeight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67">I325</f>
        <v>5</v>
      </c>
      <c r="J314" s="421">
        <f t="shared" ca="1" si="167"/>
        <v>5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20.25" customHeight="1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8">L316+L317</f>
        <v>459000</v>
      </c>
      <c r="M315" s="154">
        <f t="shared" ca="1" si="168"/>
        <v>459000</v>
      </c>
      <c r="N315" s="154">
        <f t="shared" ca="1" si="168"/>
        <v>379904.44</v>
      </c>
      <c r="O315" s="154">
        <f t="shared" ref="O315:O323" ca="1" si="169">IF(L315&gt;0,N315*100/L315,0)</f>
        <v>82.767851851851859</v>
      </c>
      <c r="P315" s="154">
        <f t="shared" ref="P315:P323" ca="1" si="170">IF(M315&gt;0,N315*100/M315,0)</f>
        <v>82.767851851851859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459000</v>
      </c>
      <c r="N317" s="45">
        <f t="shared" ca="1" si="172"/>
        <v>379904.44</v>
      </c>
      <c r="O317" s="45">
        <f t="shared" ca="1" si="169"/>
        <v>82.767851851851859</v>
      </c>
      <c r="P317" s="45">
        <f t="shared" ca="1" si="170"/>
        <v>82.767851851851859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73">L319+L320</f>
        <v>459000</v>
      </c>
      <c r="M318" s="38">
        <f t="shared" ca="1" si="173"/>
        <v>459000</v>
      </c>
      <c r="N318" s="38">
        <f t="shared" ca="1" si="173"/>
        <v>379904.44</v>
      </c>
      <c r="O318" s="38">
        <f t="shared" ca="1" si="169"/>
        <v>82.767851851851859</v>
      </c>
      <c r="P318" s="38">
        <f t="shared" ca="1" si="170"/>
        <v>82.767851851851859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"),379904.44)</f>
        <v>379904.44</v>
      </c>
      <c r="O320" s="45">
        <f t="shared" ca="1" si="169"/>
        <v>82.767851851851859</v>
      </c>
      <c r="P320" s="45">
        <f t="shared" ca="1" si="170"/>
        <v>82.767851851851859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20.25" customHeight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1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20.25" customHeight="1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20.25" customHeight="1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21">
        <f ca="1">J338+J341+J342+J343</f>
        <v>51368</v>
      </c>
      <c r="K327" s="422">
        <f ca="1">IF(I327&gt;0,J327*100/I327,0)</f>
        <v>176.52233676975945</v>
      </c>
      <c r="L327" s="423"/>
      <c r="M327" s="423"/>
      <c r="N327" s="423"/>
      <c r="O327" s="423"/>
      <c r="P327" s="423"/>
    </row>
    <row r="328" spans="1:26" ht="20.25" customHeight="1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5">L329+L330</f>
        <v>7746800</v>
      </c>
      <c r="M328" s="154">
        <f t="shared" ca="1" si="175"/>
        <v>7762300</v>
      </c>
      <c r="N328" s="154">
        <f t="shared" ca="1" si="175"/>
        <v>6576896.9199999897</v>
      </c>
      <c r="O328" s="154">
        <f t="shared" ref="O328:O336" ca="1" si="176">IF(L328&gt;0,N328*100/L328,0)</f>
        <v>84.898240822016689</v>
      </c>
      <c r="P328" s="154">
        <f t="shared" ref="P328:P336" ca="1" si="177">IF(M328&gt;0,N328*100/M328,0)</f>
        <v>84.728713396802362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7762300</v>
      </c>
      <c r="N330" s="45">
        <f t="shared" ca="1" si="179"/>
        <v>6576896.9199999897</v>
      </c>
      <c r="O330" s="45">
        <f t="shared" ca="1" si="176"/>
        <v>84.898240822016689</v>
      </c>
      <c r="P330" s="45">
        <f t="shared" ca="1" si="177"/>
        <v>84.728713396802362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80">L332+L333</f>
        <v>5934800</v>
      </c>
      <c r="M331" s="38">
        <f t="shared" ca="1" si="180"/>
        <v>5987300</v>
      </c>
      <c r="N331" s="38">
        <f t="shared" ca="1" si="180"/>
        <v>4801896.9199999897</v>
      </c>
      <c r="O331" s="38">
        <f t="shared" ca="1" si="176"/>
        <v>80.910846532317677</v>
      </c>
      <c r="P331" s="38">
        <f t="shared" ca="1" si="177"/>
        <v>80.201374910226477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"),4801896.91999999)</f>
        <v>4801896.9199999897</v>
      </c>
      <c r="O333" s="45">
        <f t="shared" ca="1" si="176"/>
        <v>80.910846532317677</v>
      </c>
      <c r="P333" s="45">
        <f t="shared" ca="1" si="177"/>
        <v>80.201374910226477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81">L335+L336</f>
        <v>1812000</v>
      </c>
      <c r="M334" s="38">
        <f t="shared" ca="1" si="181"/>
        <v>1775000</v>
      </c>
      <c r="N334" s="38">
        <f t="shared" ca="1" si="181"/>
        <v>1775000</v>
      </c>
      <c r="O334" s="38">
        <f t="shared" ca="1" si="176"/>
        <v>97.958057395143484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5">
        <f t="shared" ca="1" si="176"/>
        <v>97.958057395143484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69"/>
      <c r="B337" s="170"/>
      <c r="C337" s="163" t="s">
        <v>16</v>
      </c>
      <c r="D337" s="171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20.25" customHeight="1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37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"),46729)</f>
        <v>46729</v>
      </c>
      <c r="K338" s="38">
        <f ca="1">IF(I338&gt;0,J338*100/I338,0)</f>
        <v>160.58075601374571</v>
      </c>
      <c r="L338" s="38"/>
      <c r="M338" s="38"/>
      <c r="N338" s="38"/>
      <c r="O338" s="38"/>
      <c r="P338" s="38"/>
    </row>
    <row r="339" spans="1:26" ht="20.25" customHeight="1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20.25" customHeight="1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37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"),77)</f>
        <v>77</v>
      </c>
      <c r="K340" s="38">
        <f ca="1">IF(I340&gt;0,J340*100/I340,0)</f>
        <v>96.25</v>
      </c>
      <c r="L340" s="38"/>
      <c r="M340" s="38"/>
      <c r="N340" s="38"/>
      <c r="O340" s="38"/>
      <c r="P340" s="38"/>
    </row>
    <row r="341" spans="1:26" ht="20.25" customHeight="1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"),4255)</f>
        <v>4255</v>
      </c>
      <c r="K341" s="38"/>
      <c r="L341" s="38"/>
      <c r="M341" s="38"/>
      <c r="N341" s="38"/>
      <c r="O341" s="38"/>
      <c r="P341" s="38"/>
    </row>
    <row r="342" spans="1:26" ht="20.25" customHeight="1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"),208)</f>
        <v>208</v>
      </c>
      <c r="K342" s="38"/>
      <c r="L342" s="38"/>
      <c r="M342" s="38"/>
      <c r="N342" s="38"/>
      <c r="O342" s="38"/>
      <c r="P342" s="38"/>
    </row>
    <row r="343" spans="1:26" ht="20.25" customHeight="1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"),176)</f>
        <v>176</v>
      </c>
      <c r="K343" s="38"/>
      <c r="L343" s="38"/>
      <c r="M343" s="38"/>
      <c r="N343" s="38"/>
      <c r="O343" s="38"/>
      <c r="P343" s="38"/>
    </row>
    <row r="344" spans="1:26" ht="20.25" customHeight="1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20.25" customHeight="1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2">L346+L347</f>
        <v>13975670</v>
      </c>
      <c r="M345" s="154">
        <f t="shared" ca="1" si="182"/>
        <v>15575235</v>
      </c>
      <c r="N345" s="154">
        <f t="shared" ca="1" si="182"/>
        <v>12107563.85</v>
      </c>
      <c r="O345" s="154">
        <f t="shared" ref="O345:O353" ca="1" si="183">IF(L345&gt;0,N345*100/L345,0)</f>
        <v>86.633154975754294</v>
      </c>
      <c r="P345" s="154">
        <f t="shared" ref="P345:P353" ca="1" si="184">IF(M345&gt;0,N345*100/M345,0)</f>
        <v>77.735994673595613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15575235</v>
      </c>
      <c r="N347" s="45">
        <f t="shared" ca="1" si="186"/>
        <v>12107563.85</v>
      </c>
      <c r="O347" s="45">
        <f t="shared" ca="1" si="183"/>
        <v>86.633154975754294</v>
      </c>
      <c r="P347" s="45">
        <f t="shared" ca="1" si="184"/>
        <v>77.735994673595613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87">L349+L350</f>
        <v>11809970</v>
      </c>
      <c r="M348" s="38">
        <f t="shared" ca="1" si="187"/>
        <v>13411795</v>
      </c>
      <c r="N348" s="38">
        <f t="shared" ca="1" si="187"/>
        <v>9944123.8499999996</v>
      </c>
      <c r="O348" s="38">
        <f t="shared" ca="1" si="183"/>
        <v>84.201093228856635</v>
      </c>
      <c r="P348" s="38">
        <f t="shared" ca="1" si="184"/>
        <v>74.144615616328764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"),13411795)</f>
        <v>13411795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"),9944123.85)</f>
        <v>9944123.8499999996</v>
      </c>
      <c r="O350" s="45">
        <f t="shared" ca="1" si="183"/>
        <v>84.201093228856635</v>
      </c>
      <c r="P350" s="45">
        <f t="shared" ca="1" si="184"/>
        <v>74.144615616328764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45"/>
      <c r="B354" s="253"/>
      <c r="C354" s="246"/>
      <c r="D354" s="429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20.25" customHeight="1">
      <c r="A355" s="431"/>
      <c r="B355" s="432"/>
      <c r="C355" s="433"/>
      <c r="D355" s="434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"),3288)</f>
        <v>3288</v>
      </c>
      <c r="J355" s="438">
        <f ca="1">J362</f>
        <v>1819</v>
      </c>
      <c r="K355" s="439">
        <f ca="1">IF(I355&gt;0,J355*100/I355,0)</f>
        <v>55.322384428223842</v>
      </c>
      <c r="L355" s="440"/>
      <c r="M355" s="440"/>
      <c r="N355" s="440"/>
      <c r="O355" s="440"/>
      <c r="P355" s="440"/>
    </row>
    <row r="356" spans="1:26" ht="20.25" customHeight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20.25" customHeight="1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20.25" customHeight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"),3416)</f>
        <v>3416</v>
      </c>
      <c r="K358" s="38">
        <f t="shared" ref="K358:K365" si="189">IF(I358&gt;0,J358*100/I358,0)</f>
        <v>0</v>
      </c>
      <c r="L358" s="162"/>
      <c r="M358" s="162"/>
      <c r="N358" s="162"/>
      <c r="O358" s="162"/>
      <c r="P358" s="162"/>
    </row>
    <row r="359" spans="1:26" ht="20.25" customHeight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"),37611)</f>
        <v>37611</v>
      </c>
      <c r="J359" s="37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"),37728.52)</f>
        <v>37728.519999999997</v>
      </c>
      <c r="K359" s="38">
        <f t="shared" ca="1" si="189"/>
        <v>100.31246177979845</v>
      </c>
      <c r="L359" s="162"/>
      <c r="M359" s="162"/>
      <c r="N359" s="162"/>
      <c r="O359" s="162"/>
      <c r="P359" s="162"/>
    </row>
    <row r="360" spans="1:26" ht="20.25" customHeight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"),3288)</f>
        <v>3288</v>
      </c>
      <c r="J360" s="37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"),2467)</f>
        <v>2467</v>
      </c>
      <c r="K360" s="38">
        <f t="shared" ca="1" si="189"/>
        <v>75.030413625304135</v>
      </c>
      <c r="L360" s="162"/>
      <c r="M360" s="162"/>
      <c r="N360" s="162"/>
      <c r="O360" s="162"/>
      <c r="P360" s="162"/>
    </row>
    <row r="361" spans="1:26" ht="20.25" customHeight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"),27598.22)</f>
        <v>27598.22</v>
      </c>
      <c r="K361" s="38">
        <f t="shared" si="189"/>
        <v>0</v>
      </c>
      <c r="L361" s="162"/>
      <c r="M361" s="162"/>
      <c r="N361" s="162"/>
      <c r="O361" s="162"/>
      <c r="P361" s="162"/>
    </row>
    <row r="362" spans="1:26" ht="20.25" customHeight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"),3288)</f>
        <v>3288</v>
      </c>
      <c r="J362" s="37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"),1819)</f>
        <v>1819</v>
      </c>
      <c r="K362" s="38">
        <f t="shared" ca="1" si="189"/>
        <v>55.322384428223842</v>
      </c>
      <c r="L362" s="162"/>
      <c r="M362" s="162"/>
      <c r="N362" s="162"/>
      <c r="O362" s="162"/>
      <c r="P362" s="162"/>
    </row>
    <row r="363" spans="1:26" ht="20.25" customHeight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"),20276.73)</f>
        <v>20276.73</v>
      </c>
      <c r="K363" s="38">
        <f t="shared" si="189"/>
        <v>0</v>
      </c>
      <c r="L363" s="162"/>
      <c r="M363" s="162"/>
      <c r="N363" s="162"/>
      <c r="O363" s="162"/>
      <c r="P363" s="162"/>
    </row>
    <row r="364" spans="1:26" ht="20.25" customHeight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90">I365+I374</f>
        <v>5098</v>
      </c>
      <c r="J364" s="452">
        <f t="shared" ca="1" si="190"/>
        <v>4381</v>
      </c>
      <c r="K364" s="453">
        <f t="shared" ca="1" si="189"/>
        <v>85.935661043546489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20.25" customHeight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"),1208)</f>
        <v>1208</v>
      </c>
      <c r="J365" s="462">
        <f ca="1">J372</f>
        <v>855</v>
      </c>
      <c r="K365" s="463">
        <f t="shared" ca="1" si="189"/>
        <v>70.778145695364245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20.25" customHeight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20.25" customHeight="1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20.25" customHeight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"),1353)</f>
        <v>1353</v>
      </c>
      <c r="K368" s="38">
        <f t="shared" ref="K368:K374" si="191">IF(I368&gt;0,J368*100/I368,0)</f>
        <v>0</v>
      </c>
      <c r="L368" s="162"/>
      <c r="M368" s="162"/>
      <c r="N368" s="162"/>
      <c r="O368" s="162"/>
      <c r="P368" s="162"/>
    </row>
    <row r="369" spans="1:26" ht="20.25" customHeight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"),14663)</f>
        <v>14663</v>
      </c>
      <c r="J369" s="37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"),18544.1799999999)</f>
        <v>18544.179999999898</v>
      </c>
      <c r="K369" s="38">
        <f t="shared" ca="1" si="191"/>
        <v>126.469208211143</v>
      </c>
      <c r="L369" s="162"/>
      <c r="M369" s="162"/>
      <c r="N369" s="162"/>
      <c r="O369" s="162"/>
      <c r="P369" s="162"/>
    </row>
    <row r="370" spans="1:26" ht="20.25" customHeight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"),1208)</f>
        <v>1208</v>
      </c>
      <c r="J370" s="37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"),1047)</f>
        <v>1047</v>
      </c>
      <c r="K370" s="38">
        <f t="shared" ca="1" si="191"/>
        <v>86.672185430463571</v>
      </c>
      <c r="L370" s="162"/>
      <c r="M370" s="162"/>
      <c r="N370" s="162"/>
      <c r="O370" s="162"/>
      <c r="P370" s="162"/>
    </row>
    <row r="371" spans="1:26" ht="20.25" customHeight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"),13922.85)</f>
        <v>13922.85</v>
      </c>
      <c r="K371" s="38">
        <f t="shared" si="191"/>
        <v>0</v>
      </c>
      <c r="L371" s="162"/>
      <c r="M371" s="162"/>
      <c r="N371" s="162"/>
      <c r="O371" s="162"/>
      <c r="P371" s="162"/>
    </row>
    <row r="372" spans="1:26" ht="20.25" customHeight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"),1208)</f>
        <v>1208</v>
      </c>
      <c r="J372" s="37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"),855)</f>
        <v>855</v>
      </c>
      <c r="K372" s="38">
        <f t="shared" ca="1" si="191"/>
        <v>70.778145695364245</v>
      </c>
      <c r="L372" s="162"/>
      <c r="M372" s="162"/>
      <c r="N372" s="162"/>
      <c r="O372" s="162"/>
      <c r="P372" s="162"/>
    </row>
    <row r="373" spans="1:26" ht="20.25" customHeight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"),11429.34)</f>
        <v>11429.34</v>
      </c>
      <c r="K373" s="38">
        <f t="shared" si="191"/>
        <v>0</v>
      </c>
      <c r="L373" s="162"/>
      <c r="M373" s="162"/>
      <c r="N373" s="162"/>
      <c r="O373" s="162"/>
      <c r="P373" s="162"/>
    </row>
    <row r="374" spans="1:26" ht="20.25" customHeight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"),3890)</f>
        <v>3890</v>
      </c>
      <c r="J374" s="462">
        <f ca="1">J381</f>
        <v>3526</v>
      </c>
      <c r="K374" s="463">
        <f t="shared" ca="1" si="191"/>
        <v>90.642673521850895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20.25" customHeight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20.25" customHeight="1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20.25" customHeight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"),2063)</f>
        <v>2063</v>
      </c>
      <c r="K377" s="38">
        <f t="shared" ref="K377:K382" si="192">IF(I377&gt;0,J377*100/I377,0)</f>
        <v>0</v>
      </c>
      <c r="L377" s="162"/>
      <c r="M377" s="162"/>
      <c r="N377" s="162"/>
      <c r="O377" s="162"/>
      <c r="P377" s="162"/>
    </row>
    <row r="378" spans="1:26" ht="20.25" customHeight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"),22948)</f>
        <v>22948</v>
      </c>
      <c r="J378" s="37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"),19184.34)</f>
        <v>19184.34</v>
      </c>
      <c r="K378" s="38">
        <f t="shared" ca="1" si="192"/>
        <v>83.599180756492942</v>
      </c>
      <c r="L378" s="162"/>
      <c r="M378" s="162"/>
      <c r="N378" s="162"/>
      <c r="O378" s="162"/>
      <c r="P378" s="162"/>
    </row>
    <row r="379" spans="1:26" ht="20.25" customHeight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"),3890)</f>
        <v>3890</v>
      </c>
      <c r="J379" s="37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"),3918)</f>
        <v>3918</v>
      </c>
      <c r="K379" s="38">
        <f t="shared" ca="1" si="192"/>
        <v>100.719794344473</v>
      </c>
      <c r="L379" s="162"/>
      <c r="M379" s="162"/>
      <c r="N379" s="162"/>
      <c r="O379" s="162"/>
      <c r="P379" s="162"/>
    </row>
    <row r="380" spans="1:26" ht="20.25" customHeight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"),53128.96)</f>
        <v>53128.959999999999</v>
      </c>
      <c r="K380" s="38">
        <f t="shared" si="192"/>
        <v>0</v>
      </c>
      <c r="L380" s="162"/>
      <c r="M380" s="162"/>
      <c r="N380" s="162"/>
      <c r="O380" s="162"/>
      <c r="P380" s="162"/>
    </row>
    <row r="381" spans="1:26" ht="20.25" customHeight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"),3890)</f>
        <v>3890</v>
      </c>
      <c r="J381" s="37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"),3526)</f>
        <v>3526</v>
      </c>
      <c r="K381" s="38">
        <f t="shared" ca="1" si="192"/>
        <v>90.642673521850895</v>
      </c>
      <c r="L381" s="162"/>
      <c r="M381" s="162"/>
      <c r="N381" s="162"/>
      <c r="O381" s="162"/>
      <c r="P381" s="162"/>
    </row>
    <row r="382" spans="1:26" ht="20.25" customHeight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"),49553.12)</f>
        <v>49553.120000000003</v>
      </c>
      <c r="K382" s="38">
        <f t="shared" si="192"/>
        <v>0</v>
      </c>
      <c r="L382" s="162"/>
      <c r="M382" s="162"/>
      <c r="N382" s="162"/>
      <c r="O382" s="162"/>
      <c r="P382" s="162"/>
    </row>
    <row r="383" spans="1:26" ht="20.25" customHeight="1">
      <c r="A383" s="245"/>
      <c r="B383" s="253"/>
      <c r="C383" s="246"/>
      <c r="D383" s="469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20.25" customHeight="1">
      <c r="A384" s="169"/>
      <c r="B384" s="170"/>
      <c r="C384" s="33" t="s">
        <v>16</v>
      </c>
      <c r="D384" s="171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20.25" customHeight="1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365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"),205)</f>
        <v>205</v>
      </c>
      <c r="K385" s="472">
        <f ca="1">IF(I385&gt;0,J385*100/I385,0)</f>
        <v>67.880794701986758</v>
      </c>
      <c r="L385" s="366"/>
      <c r="M385" s="366"/>
      <c r="N385" s="366"/>
      <c r="O385" s="366"/>
      <c r="P385" s="366"/>
    </row>
    <row r="386" spans="1:26" ht="20.25" hidden="1" customHeight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20.25" hidden="1" customHeight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20.25" hidden="1" customHeight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ca="1" si="193">I400</f>
        <v>0</v>
      </c>
      <c r="J388" s="492">
        <f t="shared" ca="1" si="193"/>
        <v>0</v>
      </c>
      <c r="K388" s="493">
        <f ca="1">IF(I388&gt;0,J388*100/I388,0)</f>
        <v>0</v>
      </c>
      <c r="L388" s="494"/>
      <c r="M388" s="494"/>
      <c r="N388" s="494"/>
      <c r="O388" s="494"/>
      <c r="P388" s="494"/>
    </row>
    <row r="389" spans="1:26" ht="20.25" hidden="1" customHeight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4">L390+L391</f>
        <v>0</v>
      </c>
      <c r="M389" s="154">
        <f t="shared" ca="1" si="194"/>
        <v>0</v>
      </c>
      <c r="N389" s="154">
        <f t="shared" ca="1" si="194"/>
        <v>0</v>
      </c>
      <c r="O389" s="154">
        <f t="shared" ref="O389:O397" ca="1" si="195">IF(L389&gt;0,N389*100/L389,0)</f>
        <v>0</v>
      </c>
      <c r="P389" s="154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20.25" hidden="1" customHeight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1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1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ca="1" si="202">I412</f>
        <v>0</v>
      </c>
      <c r="J401" s="492">
        <f t="shared" ca="1" si="202"/>
        <v>0</v>
      </c>
      <c r="K401" s="493">
        <f t="shared" ca="1" si="201"/>
        <v>0</v>
      </c>
      <c r="L401" s="494"/>
      <c r="M401" s="494"/>
      <c r="N401" s="494"/>
      <c r="O401" s="494"/>
      <c r="P401" s="494"/>
    </row>
    <row r="402" spans="1:26" ht="20.25" hidden="1" customHeight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3">L403+L404</f>
        <v>0</v>
      </c>
      <c r="M402" s="154">
        <f t="shared" ca="1" si="203"/>
        <v>0</v>
      </c>
      <c r="N402" s="154">
        <f t="shared" ca="1" si="203"/>
        <v>0</v>
      </c>
      <c r="O402" s="154">
        <f t="shared" ref="O402:O410" ca="1" si="204">IF(L402&gt;0,N402*100/L402,0)</f>
        <v>0</v>
      </c>
      <c r="P402" s="154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69"/>
      <c r="B411" s="170"/>
      <c r="C411" s="163" t="s">
        <v>16</v>
      </c>
      <c r="D411" s="499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20.25" hidden="1" customHeight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1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2"/>
      <c r="M412" s="162"/>
      <c r="N412" s="162"/>
      <c r="O412" s="162"/>
      <c r="P412" s="162"/>
    </row>
    <row r="413" spans="1:26" ht="20.25" hidden="1" customHeigh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09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10">
        <f t="shared" ca="1" si="210"/>
        <v>0</v>
      </c>
      <c r="L413" s="511"/>
      <c r="M413" s="511"/>
      <c r="N413" s="511"/>
      <c r="O413" s="511"/>
      <c r="P413" s="511"/>
    </row>
    <row r="414" spans="1:26" ht="20.25" customHeight="1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1">L419+L444+L467+L502+L523+L544+L629+L655+L685+L737+L754+L770+L786+L805</f>
        <v>23496207</v>
      </c>
      <c r="M414" s="518">
        <f t="shared" ca="1" si="211"/>
        <v>23423371</v>
      </c>
      <c r="N414" s="518">
        <f t="shared" ca="1" si="211"/>
        <v>15424747.569999987</v>
      </c>
      <c r="O414" s="518">
        <f ca="1">IF(L414&gt;0,N414*100/L414,0)</f>
        <v>65.647819539553723</v>
      </c>
      <c r="P414" s="518">
        <f ca="1">IF(M414&gt;0,N414*100/M414,0)</f>
        <v>65.851954315200786</v>
      </c>
    </row>
    <row r="415" spans="1:26" ht="20.25" customHeight="1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20.25" customHeight="1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20.25" customHeight="1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7" ca="1" si="212">I433</f>
        <v>585</v>
      </c>
      <c r="J417" s="533">
        <f t="shared" ca="1" si="212"/>
        <v>550</v>
      </c>
      <c r="K417" s="534">
        <f t="shared" ref="K417:K418" ca="1" si="213">IF(I417&gt;0,J417*100/I417,0)</f>
        <v>94.017094017094024</v>
      </c>
      <c r="L417" s="535"/>
      <c r="M417" s="535"/>
      <c r="N417" s="535"/>
      <c r="O417" s="535"/>
      <c r="P417" s="535"/>
    </row>
    <row r="418" spans="1:26" ht="20.25" customHeight="1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ref="I418:J418" ca="1" si="214">I434</f>
        <v>27</v>
      </c>
      <c r="J418" s="533">
        <f t="shared" ca="1" si="214"/>
        <v>29</v>
      </c>
      <c r="K418" s="534">
        <f t="shared" ca="1" si="213"/>
        <v>107.4074074074074</v>
      </c>
      <c r="L418" s="535"/>
      <c r="M418" s="535"/>
      <c r="N418" s="535"/>
      <c r="O418" s="535"/>
      <c r="P418" s="535"/>
    </row>
    <row r="419" spans="1:26" ht="20.25" customHeight="1">
      <c r="A419" s="146"/>
      <c r="B419" s="147"/>
      <c r="C419" s="147" t="s">
        <v>16</v>
      </c>
      <c r="D419" s="792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215">L420+L421</f>
        <v>2267170</v>
      </c>
      <c r="M419" s="154">
        <f t="shared" ca="1" si="215"/>
        <v>2244470</v>
      </c>
      <c r="N419" s="154">
        <f t="shared" ca="1" si="215"/>
        <v>2017840.1</v>
      </c>
      <c r="O419" s="154">
        <f t="shared" ref="O419:O424" ca="1" si="216">IF(L419&gt;0,N419*100/L419,0)</f>
        <v>89.002593541728231</v>
      </c>
      <c r="P419" s="154">
        <f t="shared" ref="P419:P424" ca="1" si="217">IF(M419&gt;0,N419*100/M419,0)</f>
        <v>89.902743186587486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2017840.1</v>
      </c>
      <c r="O421" s="45">
        <f t="shared" ca="1" si="216"/>
        <v>89.002593541728231</v>
      </c>
      <c r="P421" s="45">
        <f t="shared" ca="1" si="217"/>
        <v>89.902743186587486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2017840.1</v>
      </c>
      <c r="O422" s="38">
        <f t="shared" ca="1" si="216"/>
        <v>89.002593541728231</v>
      </c>
      <c r="P422" s="38">
        <f t="shared" ca="1" si="217"/>
        <v>89.902743186587486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45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2017840.1</v>
      </c>
      <c r="O424" s="45">
        <f t="shared" ca="1" si="216"/>
        <v>89.002593541728231</v>
      </c>
      <c r="P424" s="45">
        <f t="shared" ca="1" si="217"/>
        <v>89.902743186587486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"),1557107.46)</f>
        <v>1557107.46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20.25" customHeight="1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"),36180)</f>
        <v>36180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20.25" customHeight="1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20.25" customHeight="1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"),424552.64)</f>
        <v>424552.64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45">
        <v>0</v>
      </c>
      <c r="N431" s="45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393"/>
      <c r="B432" s="394"/>
      <c r="C432" s="147" t="s">
        <v>16</v>
      </c>
      <c r="D432" s="541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585</v>
      </c>
      <c r="J433" s="190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1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225">I438+I440</f>
        <v>27</v>
      </c>
      <c r="J434" s="190">
        <f t="shared" ca="1" si="225"/>
        <v>29</v>
      </c>
      <c r="K434" s="191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46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38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46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38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1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46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38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1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37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227">I460</f>
        <v>330</v>
      </c>
      <c r="J442" s="552">
        <f t="shared" ca="1" si="227"/>
        <v>330</v>
      </c>
      <c r="K442" s="553">
        <f t="shared" ca="1" si="226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20.25" customHeight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228">I462</f>
        <v>675</v>
      </c>
      <c r="J443" s="533">
        <f t="shared" ca="1" si="228"/>
        <v>615</v>
      </c>
      <c r="K443" s="534">
        <f t="shared" ca="1" si="226"/>
        <v>91.111111111111114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20.25" customHeight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229">L445+L446</f>
        <v>2190696</v>
      </c>
      <c r="M444" s="191">
        <f t="shared" ca="1" si="229"/>
        <v>2180560</v>
      </c>
      <c r="N444" s="191">
        <f t="shared" ca="1" si="229"/>
        <v>1712146.24</v>
      </c>
      <c r="O444" s="191">
        <f t="shared" ref="O444:O449" ca="1" si="230">IF(L444&gt;0,N444*100/L444,0)</f>
        <v>78.155355193052799</v>
      </c>
      <c r="P444" s="191">
        <f t="shared" ref="P444:P449" ca="1" si="231">IF(M444&gt;0,N444*100/M444,0)</f>
        <v>78.518648420589201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20.25" hidden="1" customHeight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20.25" hidden="1" customHeight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1712146.24</v>
      </c>
      <c r="O446" s="45">
        <f t="shared" ca="1" si="230"/>
        <v>78.155355193052799</v>
      </c>
      <c r="P446" s="45">
        <f t="shared" ca="1" si="231"/>
        <v>78.518648420589201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20.25" customHeight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1712146.24</v>
      </c>
      <c r="O447" s="38">
        <f t="shared" ca="1" si="230"/>
        <v>78.155355193052799</v>
      </c>
      <c r="P447" s="38">
        <f t="shared" ca="1" si="231"/>
        <v>78.518648420589201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20.25" hidden="1" customHeight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230"/>
        <v>0</v>
      </c>
      <c r="P448" s="45">
        <f t="shared" si="231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20.25" hidden="1" customHeight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45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1712146.24</v>
      </c>
      <c r="O449" s="45">
        <f t="shared" ca="1" si="230"/>
        <v>78.155355193052799</v>
      </c>
      <c r="P449" s="45">
        <f t="shared" ca="1" si="231"/>
        <v>78.518648420589201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20.25" customHeight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"),548140)</f>
        <v>548140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20.25" customHeight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"),538520)</f>
        <v>538520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20.25" customHeight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"),439846.24)</f>
        <v>439846.24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20.25" customHeight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"),185640)</f>
        <v>185640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20.25" customHeight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20.25" hidden="1" customHeight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36"/>
        <v>0</v>
      </c>
      <c r="P455" s="45">
        <f t="shared" si="237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20.25" hidden="1" customHeight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45">
        <v>0</v>
      </c>
      <c r="N456" s="45">
        <v>0</v>
      </c>
      <c r="O456" s="45">
        <f t="shared" ca="1" si="236"/>
        <v>0</v>
      </c>
      <c r="P456" s="45">
        <f t="shared" si="237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20.25" customHeight="1">
      <c r="A457" s="568"/>
      <c r="B457" s="569"/>
      <c r="C457" s="538" t="s">
        <v>16</v>
      </c>
      <c r="D457" s="570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20.25" hidden="1" customHeight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20.25" hidden="1" customHeight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20.25" customHeight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1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20.25" customHeight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20.25" customHeight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1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20.25" customHeight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1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"),375)</f>
        <v>375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20.25" customHeight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1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"),225)</f>
        <v>225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20.25" customHeight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52">
        <f ca="1">J485+J489+J492</f>
        <v>842</v>
      </c>
      <c r="K465" s="553">
        <f t="shared" ref="K465:K466" ca="1" si="238">IF(I465&gt;0,J465*100/I465,0)</f>
        <v>102.06060606060606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20.25" customHeight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33">
        <f ca="1">J495+J498</f>
        <v>4600</v>
      </c>
      <c r="K466" s="534">
        <f t="shared" ca="1" si="238"/>
        <v>56.790123456790127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20.25" customHeight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39">L468+L469</f>
        <v>7035480</v>
      </c>
      <c r="M467" s="191">
        <f t="shared" ca="1" si="239"/>
        <v>7035480</v>
      </c>
      <c r="N467" s="191">
        <f t="shared" ca="1" si="239"/>
        <v>4587361.4399999995</v>
      </c>
      <c r="O467" s="191">
        <f t="shared" ref="O467:O472" ca="1" si="240">IF(L467&gt;0,N467*100/L467,0)</f>
        <v>65.2032475396135</v>
      </c>
      <c r="P467" s="191">
        <f t="shared" ref="P467:P472" ca="1" si="241">IF(M467&gt;0,N467*100/M467,0)</f>
        <v>65.2032475396135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20.25" hidden="1" customHeight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20.25" hidden="1" customHeight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4587361.4399999995</v>
      </c>
      <c r="O469" s="45">
        <f t="shared" ca="1" si="240"/>
        <v>65.2032475396135</v>
      </c>
      <c r="P469" s="45">
        <f t="shared" ca="1" si="241"/>
        <v>65.2032475396135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20.25" customHeight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4587361.4399999995</v>
      </c>
      <c r="O470" s="38">
        <f t="shared" ca="1" si="240"/>
        <v>65.2032475396135</v>
      </c>
      <c r="P470" s="38">
        <f t="shared" ca="1" si="241"/>
        <v>65.2032475396135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20.25" hidden="1" customHeight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40"/>
        <v>0</v>
      </c>
      <c r="P471" s="45">
        <f t="shared" si="241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20.25" hidden="1" customHeight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45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4587361.4399999995</v>
      </c>
      <c r="O472" s="45">
        <f t="shared" ca="1" si="240"/>
        <v>65.2032475396135</v>
      </c>
      <c r="P472" s="45">
        <f t="shared" ca="1" si="241"/>
        <v>65.2032475396135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20.25" customHeight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"),1040516)</f>
        <v>1040516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20.25" customHeight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"),2617140)</f>
        <v>2617140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20.25" customHeight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"),641733.36)</f>
        <v>641733.36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20.25" customHeight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"),287972.079999999)</f>
        <v>287972.07999999903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20.25" customHeight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20.25" hidden="1" customHeight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46"/>
        <v>0</v>
      </c>
      <c r="P478" s="45">
        <f t="shared" si="247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20.25" hidden="1" customHeight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45">
        <v>0</v>
      </c>
      <c r="N479" s="45">
        <v>0</v>
      </c>
      <c r="O479" s="45">
        <f t="shared" ca="1" si="246"/>
        <v>0</v>
      </c>
      <c r="P479" s="45">
        <f t="shared" si="247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20.25" customHeight="1">
      <c r="A480" s="568"/>
      <c r="B480" s="569"/>
      <c r="C480" s="538" t="s">
        <v>16</v>
      </c>
      <c r="D480" s="57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20.25" customHeight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20.25" customHeight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20.25" customHeight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1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20.25" customHeight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"),425)</f>
        <v>425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20.25" customHeight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1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20.25" customHeight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20.25" customHeight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1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20.25" customHeight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20.25" customHeight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1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20.25" customHeight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20.25" customHeight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20.25" customHeight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1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20.25" customHeight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20.25" customHeight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20.25" customHeight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1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"),4140)</f>
        <v>4140</v>
      </c>
      <c r="K495" s="38">
        <f ca="1">IF(I495&gt;0,J495*100/I495,0)</f>
        <v>56.790123456790127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20.25" customHeight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"),2376)</f>
        <v>2376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20.25" customHeight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20.25" customHeight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1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"),460)</f>
        <v>460</v>
      </c>
      <c r="K498" s="38">
        <f ca="1">IF(I498&gt;0,J498*100/I498,0)</f>
        <v>56.790123456790127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20.25" customHeight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"),264)</f>
        <v>264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20.25" hidden="1" customHeight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48">J516</f>
        <v>0</v>
      </c>
      <c r="K500" s="586">
        <f t="shared" ref="K500:K501" si="249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20.25" hidden="1" customHeight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48"/>
        <v>0</v>
      </c>
      <c r="K501" s="594">
        <f t="shared" si="249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20.25" hidden="1" customHeight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50">L503+L504</f>
        <v>0</v>
      </c>
      <c r="M502" s="598">
        <f t="shared" si="250"/>
        <v>0</v>
      </c>
      <c r="N502" s="598">
        <f t="shared" si="250"/>
        <v>0</v>
      </c>
      <c r="O502" s="598">
        <f t="shared" ref="O502:O507" si="251">IF(L502&gt;0,N502*100/L502,0)</f>
        <v>0</v>
      </c>
      <c r="P502" s="598">
        <f t="shared" ref="P502:P507" si="252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20.25" hidden="1" customHeight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20.25" hidden="1" customHeight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20.25" hidden="1" customHeight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20.25" hidden="1" customHeight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51"/>
        <v>0</v>
      </c>
      <c r="P506" s="45">
        <f t="shared" si="252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20.25" hidden="1" customHeight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20.25" hidden="1" customHeight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20.25" hidden="1" customHeight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20.25" hidden="1" customHeight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20.25" hidden="1" customHeight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20.25" hidden="1" customHeight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20.25" hidden="1" customHeight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57"/>
        <v>0</v>
      </c>
      <c r="P513" s="45">
        <f t="shared" si="258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20.25" hidden="1" customHeight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57"/>
        <v>0</v>
      </c>
      <c r="P514" s="45">
        <f t="shared" si="258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20.25" hidden="1" customHeight="1">
      <c r="A515" s="574"/>
      <c r="B515" s="575"/>
      <c r="C515" s="566" t="s">
        <v>16</v>
      </c>
      <c r="D515" s="601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20.25" hidden="1" customHeight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59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20.25" hidden="1" customHeight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59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20.25" hidden="1" customHeight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20.25" hidden="1" customHeight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20.25" customHeight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20.25" customHeight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20.25" customHeight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60">I537</f>
        <v>150</v>
      </c>
      <c r="J522" s="627">
        <f t="shared" ca="1" si="260"/>
        <v>150</v>
      </c>
      <c r="K522" s="628">
        <f ca="1">IF(I522&gt;0,J522*100/I522,0)</f>
        <v>100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20.25" customHeight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61">L524+L525</f>
        <v>1282380</v>
      </c>
      <c r="M523" s="191">
        <f t="shared" ca="1" si="261"/>
        <v>1282380</v>
      </c>
      <c r="N523" s="191">
        <f t="shared" ca="1" si="261"/>
        <v>1219663</v>
      </c>
      <c r="O523" s="191">
        <f t="shared" ref="O523:O528" ca="1" si="262">IF(L523&gt;0,N523*100/L523,0)</f>
        <v>95.109327968308932</v>
      </c>
      <c r="P523" s="191">
        <f t="shared" ref="P523:P528" ca="1" si="263">IF(M523&gt;0,N523*100/M523,0)</f>
        <v>95.109327968308932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20.25" hidden="1" customHeight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20.25" hidden="1" customHeight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1219663</v>
      </c>
      <c r="O525" s="45">
        <f t="shared" ca="1" si="262"/>
        <v>95.109327968308932</v>
      </c>
      <c r="P525" s="45">
        <f t="shared" ca="1" si="263"/>
        <v>95.109327968308932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20.25" customHeight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1219663</v>
      </c>
      <c r="O526" s="38">
        <f t="shared" ca="1" si="262"/>
        <v>95.109327968308932</v>
      </c>
      <c r="P526" s="38">
        <f t="shared" ca="1" si="263"/>
        <v>95.109327968308932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20.25" hidden="1" customHeight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62"/>
        <v>0</v>
      </c>
      <c r="P527" s="45">
        <f t="shared" si="263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20.25" hidden="1" customHeight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45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1219663</v>
      </c>
      <c r="O528" s="45">
        <f t="shared" ca="1" si="262"/>
        <v>95.109327968308932</v>
      </c>
      <c r="P528" s="45">
        <f t="shared" ca="1" si="263"/>
        <v>95.109327968308932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20.25" customHeight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"),399248)</f>
        <v>399248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20.25" customHeight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20.25" customHeight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20.25" customHeight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"),70415)</f>
        <v>70415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20.25" customHeight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20.25" hidden="1" customHeight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68"/>
        <v>0</v>
      </c>
      <c r="P534" s="45">
        <f t="shared" si="269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20.25" hidden="1" customHeight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45">
        <v>0</v>
      </c>
      <c r="N535" s="45">
        <v>0</v>
      </c>
      <c r="O535" s="45">
        <f t="shared" ca="1" si="268"/>
        <v>0</v>
      </c>
      <c r="P535" s="45">
        <f t="shared" si="269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20.25" customHeight="1">
      <c r="A536" s="568"/>
      <c r="B536" s="569"/>
      <c r="C536" s="539" t="s">
        <v>16</v>
      </c>
      <c r="D536" s="630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20.25" customHeight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0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20.25" customHeight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1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20.25" customHeight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1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20.25" customHeight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1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20.25" customHeight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1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20.25" customHeight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1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8">
        <f t="shared" ca="1" si="270"/>
        <v>100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20.25" customHeight="1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71">I559</f>
        <v>264163</v>
      </c>
      <c r="J543" s="635">
        <f t="shared" ca="1" si="271"/>
        <v>76290.78</v>
      </c>
      <c r="K543" s="636">
        <f t="shared" ca="1" si="270"/>
        <v>28.880191396978379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20.25" customHeight="1">
      <c r="A544" s="637"/>
      <c r="B544" s="638"/>
      <c r="C544" s="638" t="s">
        <v>16</v>
      </c>
      <c r="D544" s="796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72">L545+L546</f>
        <v>6053541</v>
      </c>
      <c r="M544" s="154">
        <f t="shared" ca="1" si="272"/>
        <v>6013541</v>
      </c>
      <c r="N544" s="154">
        <f t="shared" ca="1" si="272"/>
        <v>3708304.7899999898</v>
      </c>
      <c r="O544" s="154">
        <f t="shared" ref="O544:O549" ca="1" si="273">IF(L544&gt;0,N544*100/L544,0)</f>
        <v>61.258440142719607</v>
      </c>
      <c r="P544" s="154">
        <f t="shared" ref="P544:P549" ca="1" si="274">IF(M544&gt;0,N544*100/M544,0)</f>
        <v>61.665910151772309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20.25" hidden="1" customHeight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20.25" hidden="1" customHeight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3708304.7899999898</v>
      </c>
      <c r="O546" s="45">
        <f t="shared" ca="1" si="273"/>
        <v>61.258440142719607</v>
      </c>
      <c r="P546" s="45">
        <f t="shared" ca="1" si="274"/>
        <v>61.665910151772309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20.25" customHeight="1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3708304.7899999898</v>
      </c>
      <c r="O547" s="38">
        <f t="shared" ca="1" si="273"/>
        <v>61.258440142719607</v>
      </c>
      <c r="P547" s="38">
        <f t="shared" ca="1" si="274"/>
        <v>61.665910151772309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20.25" hidden="1" customHeight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73"/>
        <v>0</v>
      </c>
      <c r="P548" s="45">
        <f t="shared" si="274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20.25" hidden="1" customHeight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45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3708304.7899999898</v>
      </c>
      <c r="O549" s="45">
        <f t="shared" ca="1" si="273"/>
        <v>61.258440142719607</v>
      </c>
      <c r="P549" s="45">
        <f t="shared" ca="1" si="274"/>
        <v>61.665910151772309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20.25" customHeight="1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20.25" customHeight="1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"),166215)</f>
        <v>166215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20.25" customHeight="1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"),1478453.24)</f>
        <v>1478453.24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20.25" customHeight="1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"),2063636.54999999)</f>
        <v>2063636.54999999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20.25" customHeight="1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20.25" customHeight="1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20.25" hidden="1" customHeight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80"/>
        <v>0</v>
      </c>
      <c r="P556" s="45">
        <f t="shared" si="281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20.25" hidden="1" customHeight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45">
        <v>0</v>
      </c>
      <c r="N557" s="45">
        <v>0</v>
      </c>
      <c r="O557" s="45">
        <f t="shared" ca="1" si="280"/>
        <v>0</v>
      </c>
      <c r="P557" s="45">
        <f t="shared" si="281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20.25" customHeight="1">
      <c r="A558" s="568"/>
      <c r="B558" s="569"/>
      <c r="C558" s="538" t="s">
        <v>16</v>
      </c>
      <c r="D558" s="630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20.25" customHeight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82">I576</f>
        <v>264163</v>
      </c>
      <c r="J559" s="627">
        <f t="shared" ca="1" si="282"/>
        <v>76290.78</v>
      </c>
      <c r="K559" s="628">
        <f t="shared" ref="K559:K561" ca="1" si="283">IF(I559&gt;0,J559*100/I559,0)</f>
        <v>28.880191396978379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20.25" customHeight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89">
        <f t="shared" ref="J560:J561" ca="1" si="284">J562+J564+J566</f>
        <v>264163.10249999998</v>
      </c>
      <c r="K560" s="390">
        <f t="shared" ca="1" si="283"/>
        <v>100.00003880180039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20.25" customHeight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89">
        <f t="shared" ca="1" si="284"/>
        <v>21507</v>
      </c>
      <c r="K561" s="390">
        <f t="shared" ca="1" si="283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20.25" customHeight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20.25" customHeight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20.25" customHeight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20.25" customHeight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20.25" customHeight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20.25" customHeight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20.25" customHeight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0">
        <f t="shared" ref="J568:J569" ca="1" si="285">J570+J572+J574</f>
        <v>264165.43999999901</v>
      </c>
      <c r="K568" s="390">
        <f t="shared" ref="K568:K569" ca="1" si="286">IF(I568&gt;0,J568*100/I568,0)</f>
        <v>100.00092367212632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20.25" customHeight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0">
        <f t="shared" ca="1" si="285"/>
        <v>21507</v>
      </c>
      <c r="K569" s="390">
        <f t="shared" ca="1" si="286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20.25" customHeight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20.25" customHeight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20.25" customHeight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20.25" customHeight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20.25" customHeight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20.25" customHeight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20.25" customHeight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0">
        <f t="shared" ref="J576:J577" ca="1" si="287">J578+J580+J582+J588+J590</f>
        <v>76290.78</v>
      </c>
      <c r="K576" s="390">
        <f t="shared" ref="K576:K577" ca="1" si="288">IF(I576&gt;0,J576*100/I576,0)</f>
        <v>28.880191396978379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20.25" customHeight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0">
        <f t="shared" ca="1" si="287"/>
        <v>5734</v>
      </c>
      <c r="K577" s="390">
        <f t="shared" ca="1" si="288"/>
        <v>26.661087087924862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20.25" customHeight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"),67004)</f>
        <v>67004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20.25" customHeight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"),5110)</f>
        <v>5110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20.25" customHeight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"),7934.78)</f>
        <v>7934.78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20.25" customHeight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"),518)</f>
        <v>518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20.25" customHeight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ca="1" si="289">J584+J586</f>
        <v>1352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20.25" customHeight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ca="1" si="289"/>
        <v>106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20.25" customHeight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"),1352)</f>
        <v>1352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20.25" customHeight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"),106)</f>
        <v>106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20.25" customHeight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20.25" customHeight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20.25" customHeight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20.25" customHeight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20.25" customHeight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20.25" customHeight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20.25" customHeight="1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90">I593</f>
        <v>81061</v>
      </c>
      <c r="J592" s="627">
        <f t="shared" ca="1" si="290"/>
        <v>41970.747500000005</v>
      </c>
      <c r="K592" s="628">
        <f t="shared" ref="K592:K594" ca="1" si="291">IF(I592&gt;0,J592*100/I592,0)</f>
        <v>51.776745290583648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20.25" customHeight="1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89">
        <f t="shared" ref="J593:J594" ca="1" si="292">J595+J603+J609</f>
        <v>41970.747500000005</v>
      </c>
      <c r="K593" s="390">
        <f t="shared" ca="1" si="291"/>
        <v>51.776745290583648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20.25" customHeight="1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89">
        <f t="shared" ca="1" si="292"/>
        <v>2672</v>
      </c>
      <c r="K594" s="390">
        <f t="shared" ca="1" si="291"/>
        <v>49.878663431024826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20.25" customHeight="1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ca="1" si="293">J597+J599</f>
        <v>37561.18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20.25" customHeight="1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ca="1" si="293"/>
        <v>2352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20.25" customHeight="1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"),26551.68)</f>
        <v>26551.68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20.25" customHeight="1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"),1800)</f>
        <v>1800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20.25" customHeight="1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"),11009.5)</f>
        <v>11009.5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20.25" customHeight="1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"),552)</f>
        <v>552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20.25" customHeight="1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"),182)</f>
        <v>182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20.25" customHeight="1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"),6)</f>
        <v>6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20.25" customHeight="1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ca="1" si="294">J605+J607</f>
        <v>4188.0174999999999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20.25" customHeight="1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ca="1" si="294"/>
        <v>302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20.25" customHeight="1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"),3858.0175)</f>
        <v>3858.0174999999999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20.25" customHeight="1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"),283)</f>
        <v>283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20.25" customHeight="1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"),330)</f>
        <v>330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20.25" customHeight="1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"),19)</f>
        <v>19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20.25" customHeight="1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"),221.55)</f>
        <v>221.55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20.25" customHeight="1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"),18)</f>
        <v>18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20.25" customHeight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95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20.25" hidden="1" customHeight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96">J614+J616</f>
        <v>0</v>
      </c>
      <c r="K612" s="663">
        <f t="shared" si="295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20.25" hidden="1" customHeight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96"/>
        <v>0</v>
      </c>
      <c r="K613" s="663">
        <f t="shared" si="295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20.25" hidden="1" customHeight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20.25" hidden="1" customHeight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20.25" hidden="1" customHeight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20.25" hidden="1" customHeight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20.25" hidden="1" customHeight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20.25" hidden="1" customHeight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20.25" customHeight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672">
        <f t="shared" ref="J620:J621" ca="1" si="297">J622+J624+J626</f>
        <v>5</v>
      </c>
      <c r="K620" s="673">
        <f t="shared" ref="K620:K621" ca="1" si="298">IF(I620&gt;0,J620*100/I620,0)</f>
        <v>0.52854122621564481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20.25" customHeight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672">
        <f t="shared" ca="1" si="297"/>
        <v>8</v>
      </c>
      <c r="K621" s="673">
        <f t="shared" ca="1" si="298"/>
        <v>13.559322033898304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20.25" customHeight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20.25" customHeight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20.25" customHeight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20.25" customHeight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20.25" customHeight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20.25" customHeight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20.25" customHeight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99">I651</f>
        <v>1465</v>
      </c>
      <c r="J628" s="683">
        <f t="shared" ca="1" si="299"/>
        <v>166</v>
      </c>
      <c r="K628" s="684">
        <f ca="1">IF(I628&gt;0,J628*100/I628,0)</f>
        <v>11.331058020477816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20.25" customHeight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300">L630+L631</f>
        <v>3807230</v>
      </c>
      <c r="M629" s="191">
        <f t="shared" ca="1" si="300"/>
        <v>3807230</v>
      </c>
      <c r="N629" s="191">
        <f t="shared" ca="1" si="300"/>
        <v>1892411.35</v>
      </c>
      <c r="O629" s="191">
        <f t="shared" ref="O629:O634" ca="1" si="301">IF(L629&gt;0,N629*100/L629,0)</f>
        <v>49.705726998368895</v>
      </c>
      <c r="P629" s="191">
        <f t="shared" ref="P629:P634" ca="1" si="302">IF(M629&gt;0,N629*100/M629,0)</f>
        <v>49.705726998368895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20.25" hidden="1" customHeight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20.25" hidden="1" customHeight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1892411.35</v>
      </c>
      <c r="O631" s="45">
        <f t="shared" ca="1" si="301"/>
        <v>49.705726998368895</v>
      </c>
      <c r="P631" s="45">
        <f t="shared" ca="1" si="302"/>
        <v>49.705726998368895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20.25" customHeight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1892411.35</v>
      </c>
      <c r="O632" s="38">
        <f t="shared" ca="1" si="301"/>
        <v>49.705726998368895</v>
      </c>
      <c r="P632" s="38">
        <f t="shared" ca="1" si="302"/>
        <v>49.705726998368895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20.25" hidden="1" customHeight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301"/>
        <v>0</v>
      </c>
      <c r="P633" s="45">
        <f t="shared" si="302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20.25" hidden="1" customHeight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45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1892411.35</v>
      </c>
      <c r="O634" s="45">
        <f t="shared" ca="1" si="301"/>
        <v>49.705726998368895</v>
      </c>
      <c r="P634" s="45">
        <f t="shared" ca="1" si="302"/>
        <v>49.705726998368895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20.25" customHeight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20.25" customHeight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20.25" customHeight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"),787731.1)</f>
        <v>787731.1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20.25" customHeight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"),1068375.25)</f>
        <v>1068375.25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20.25" customHeight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20.25" hidden="1" customHeight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307"/>
        <v>0</v>
      </c>
      <c r="P640" s="45">
        <f t="shared" si="308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20.25" hidden="1" customHeight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45">
        <v>0</v>
      </c>
      <c r="N641" s="45">
        <v>0</v>
      </c>
      <c r="O641" s="45">
        <f t="shared" ca="1" si="307"/>
        <v>0</v>
      </c>
      <c r="P641" s="45">
        <f t="shared" si="308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20.25" customHeight="1">
      <c r="A642" s="568"/>
      <c r="B642" s="569"/>
      <c r="C642" s="539" t="s">
        <v>16</v>
      </c>
      <c r="D642" s="630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20.25" customHeight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1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2">
        <f t="shared" ref="K643:K652" ca="1" si="309">IF(I643&gt;0,J643*100/I643,0)</f>
        <v>90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20.25" customHeight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1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"),7)</f>
        <v>7</v>
      </c>
      <c r="K644" s="162">
        <f t="shared" ca="1" si="309"/>
        <v>70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20.25" customHeight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"),649)</f>
        <v>649</v>
      </c>
      <c r="K645" s="162">
        <f t="shared" ca="1" si="309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20.25" customHeight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"),498.39)</f>
        <v>498.39</v>
      </c>
      <c r="K646" s="38">
        <f t="shared" si="309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20.25" customHeight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"),553)</f>
        <v>553</v>
      </c>
      <c r="K647" s="162">
        <f t="shared" ca="1" si="309"/>
        <v>37.74744027303754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20.25" customHeight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"),397.159999999999)</f>
        <v>397.159999999999</v>
      </c>
      <c r="K648" s="38">
        <f t="shared" si="309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20.25" customHeight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"),196)</f>
        <v>196</v>
      </c>
      <c r="K649" s="162">
        <f t="shared" ca="1" si="309"/>
        <v>13.378839590443686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20.25" customHeight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"),149.15)</f>
        <v>149.15</v>
      </c>
      <c r="K650" s="38">
        <f t="shared" si="309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20.25" customHeight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"),166)</f>
        <v>166</v>
      </c>
      <c r="K651" s="162">
        <f t="shared" ca="1" si="309"/>
        <v>11.331058020477816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20.25" customHeight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"),116.5775)</f>
        <v>116.5775</v>
      </c>
      <c r="K652" s="472">
        <f t="shared" si="309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20.25" customHeight="1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20.25" customHeight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310">I669</f>
        <v>1235</v>
      </c>
      <c r="J654" s="627">
        <f t="shared" ca="1" si="310"/>
        <v>143</v>
      </c>
      <c r="K654" s="628">
        <f ca="1">IF(I654&gt;0,J654*100/I654,0)</f>
        <v>11.578947368421053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20.25" customHeight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311">L656+L657</f>
        <v>171700</v>
      </c>
      <c r="M655" s="191">
        <f t="shared" ca="1" si="311"/>
        <v>171700</v>
      </c>
      <c r="N655" s="191">
        <f t="shared" ca="1" si="311"/>
        <v>71006.2</v>
      </c>
      <c r="O655" s="191">
        <f t="shared" ref="O655:O660" ca="1" si="312">IF(L655&gt;0,N655*100/L655,0)</f>
        <v>41.354804892253931</v>
      </c>
      <c r="P655" s="191">
        <f t="shared" ref="P655:P660" ca="1" si="313">IF(M655&gt;0,N655*100/M655,0)</f>
        <v>41.354804892253931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20.25" hidden="1" customHeight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20.25" hidden="1" customHeight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71006.2</v>
      </c>
      <c r="O657" s="45">
        <f t="shared" ca="1" si="312"/>
        <v>41.354804892253931</v>
      </c>
      <c r="P657" s="45">
        <f t="shared" ca="1" si="313"/>
        <v>41.354804892253931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20.25" customHeight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71006.2</v>
      </c>
      <c r="O658" s="38">
        <f t="shared" ca="1" si="312"/>
        <v>41.354804892253931</v>
      </c>
      <c r="P658" s="38">
        <f t="shared" ca="1" si="313"/>
        <v>41.354804892253931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20.25" hidden="1" customHeight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312"/>
        <v>0</v>
      </c>
      <c r="P659" s="45">
        <f t="shared" si="313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20.25" hidden="1" customHeight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45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71006.2</v>
      </c>
      <c r="O660" s="45">
        <f t="shared" ca="1" si="312"/>
        <v>41.354804892253931</v>
      </c>
      <c r="P660" s="45">
        <f t="shared" ca="1" si="313"/>
        <v>41.354804892253931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20.25" customHeight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20.25" customHeight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20.25" customHeight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"),3220)</f>
        <v>3220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20.25" customHeight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"),67786.2)</f>
        <v>67786.2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20.25" customHeight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20.25" hidden="1" customHeight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318"/>
        <v>0</v>
      </c>
      <c r="P666" s="45">
        <f t="shared" si="31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20.25" hidden="1" customHeight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318"/>
        <v>0</v>
      </c>
      <c r="P667" s="45">
        <f t="shared" si="31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20.25" customHeight="1">
      <c r="A668" s="568"/>
      <c r="B668" s="569"/>
      <c r="C668" s="538" t="s">
        <v>16</v>
      </c>
      <c r="D668" s="570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20.25" customHeight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0">
        <f ca="1">J675</f>
        <v>143</v>
      </c>
      <c r="K669" s="191">
        <f ca="1">IF(I669&gt;0,J669*100/I669,0)</f>
        <v>11.578947368421053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20.25" customHeight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1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20.25" customHeight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1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20.25" customHeight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"),1185)</f>
        <v>1185</v>
      </c>
      <c r="K672" s="38">
        <f t="shared" ref="K672:K675" ca="1" si="320">IF(I$669&gt;0,J672*100/I$669,0)</f>
        <v>95.951417004048579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20.25" customHeight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"),862)</f>
        <v>862</v>
      </c>
      <c r="K673" s="38">
        <f t="shared" ca="1" si="320"/>
        <v>69.797570850202433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20.25" customHeight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"),238)</f>
        <v>238</v>
      </c>
      <c r="K674" s="38">
        <f t="shared" ca="1" si="320"/>
        <v>19.271255060728745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20.25" customHeight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 ca="1">J676+J677</f>
        <v>143</v>
      </c>
      <c r="K675" s="191">
        <f t="shared" ca="1" si="320"/>
        <v>11.578947368421053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20.25" customHeight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20.25" customHeight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20.25" customHeight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0">
        <f ca="1">J679</f>
        <v>136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20.25" customHeight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 ca="1">J680+J681</f>
        <v>136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20.25" customHeight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20.25" customHeight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20.25" customHeight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20.25" customHeight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20.25" customHeight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20.25" customHeight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321">L686+L687</f>
        <v>352810</v>
      </c>
      <c r="M685" s="191">
        <f t="shared" ca="1" si="321"/>
        <v>352810</v>
      </c>
      <c r="N685" s="191">
        <f t="shared" ca="1" si="321"/>
        <v>78081.119999999995</v>
      </c>
      <c r="O685" s="191">
        <f t="shared" ref="O685:O688" ca="1" si="322">IF(L685&gt;0,N685*100/L685,0)</f>
        <v>22.131209432839206</v>
      </c>
      <c r="P685" s="191">
        <f t="shared" ref="P685:P688" ca="1" si="323">IF(M685&gt;0,N685*100/M685,0)</f>
        <v>22.131209432839206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20.25" hidden="1" customHeight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20.25" hidden="1" customHeight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78081.119999999995</v>
      </c>
      <c r="O687" s="45">
        <f t="shared" ca="1" si="322"/>
        <v>22.131209432839206</v>
      </c>
      <c r="P687" s="45">
        <f t="shared" ca="1" si="323"/>
        <v>22.131209432839206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20.25" customHeight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78081.119999999995</v>
      </c>
      <c r="O688" s="38">
        <f t="shared" ca="1" si="322"/>
        <v>22.131209432839206</v>
      </c>
      <c r="P688" s="38">
        <f t="shared" ca="1" si="323"/>
        <v>22.131209432839206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20.25" hidden="1" customHeight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20.25" hidden="1" customHeight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45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78081.119999999995</v>
      </c>
      <c r="O690" s="45">
        <f ca="1">IF(L690&gt;0,N690*100/L690,0)</f>
        <v>22.131209432839206</v>
      </c>
      <c r="P690" s="45">
        <f ca="1">IF(M690&gt;0,N690*100/M690,0)</f>
        <v>22.131209432839206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20.25" customHeight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20.25" customHeight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20.25" customHeight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20.25" customHeight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"),78081.12)</f>
        <v>78081.119999999995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20.25" customHeight="1">
      <c r="A695" s="559"/>
      <c r="B695" s="538"/>
      <c r="C695" s="539"/>
      <c r="D695" s="69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20.25" hidden="1" customHeight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328"/>
        <v>0</v>
      </c>
      <c r="P696" s="45">
        <f t="shared" si="32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20.25" hidden="1" customHeight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328"/>
        <v>0</v>
      </c>
      <c r="P697" s="45">
        <f t="shared" si="32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20.25" customHeight="1">
      <c r="A698" s="568"/>
      <c r="B698" s="569"/>
      <c r="C698" s="539" t="s">
        <v>16</v>
      </c>
      <c r="D698" s="698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20.25" customHeight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20.25" customHeight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"),44)</f>
        <v>44</v>
      </c>
      <c r="K700" s="38">
        <f t="shared" ca="1" si="330"/>
        <v>31.884057971014492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20.25" customHeight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0">
        <f ca="1">J704+J707</f>
        <v>685.62</v>
      </c>
      <c r="K701" s="191">
        <f t="shared" ca="1" si="330"/>
        <v>37.241716458446497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20.25" customHeight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"),71)</f>
        <v>71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20.25" customHeight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"),77)</f>
        <v>77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20.25" customHeight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1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"),640.62)</f>
        <v>640.62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20.25" customHeight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20.25" customHeight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20.25" customHeight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1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20.25" customHeight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0">
        <f ca="1">J714+J717</f>
        <v>780</v>
      </c>
      <c r="K708" s="191">
        <f ca="1">IF(I708&gt;0,J708*100/I708,0)</f>
        <v>34.498009730207876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20.25" customHeight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"),32)</f>
        <v>32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20.25" customHeight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"),548)</f>
        <v>548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20.25" customHeight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20.25" customHeight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"),63)</f>
        <v>63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20.25" customHeight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"),55)</f>
        <v>55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20.25" customHeight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"),416)</f>
        <v>416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20.25" customHeight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"),12)</f>
        <v>12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20.25" customHeight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"),37)</f>
        <v>37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20.25" customHeight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"),364)</f>
        <v>364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20.25" customHeight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20.25" customHeight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20.25" customHeight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20.25" customHeight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0">
        <f ca="1">J723+J726</f>
        <v>104</v>
      </c>
      <c r="K721" s="191">
        <f t="shared" ca="1" si="331"/>
        <v>42.97520661157025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20.25" customHeight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0">
        <f ca="1">J725+J728</f>
        <v>1332.0700000000002</v>
      </c>
      <c r="K722" s="191">
        <f t="shared" ca="1" si="331"/>
        <v>54.127184071515657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20.25" customHeight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"),89)</f>
        <v>89</v>
      </c>
      <c r="K723" s="38">
        <f t="shared" ca="1" si="331"/>
        <v>49.171270718232044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20.25" customHeight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"),104)</f>
        <v>104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20.25" customHeight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"),1267.69)</f>
        <v>1267.69</v>
      </c>
      <c r="K725" s="38">
        <f t="shared" ref="K725:K726" ca="1" si="332">IF(I725&gt;0,J725*100/I725,0)</f>
        <v>66.79083245521602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20.25" customHeight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20.25" customHeight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20.25" customHeight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20.25" customHeight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0">
        <f ca="1">J732+J735</f>
        <v>490.42500000000001</v>
      </c>
      <c r="K729" s="191">
        <f t="shared" ca="1" si="333"/>
        <v>89.657221206581355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20.25" customHeight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"),10)</f>
        <v>10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20.25" customHeight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20.25" customHeight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"),114)</f>
        <v>114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20.25" customHeight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"),32)</f>
        <v>32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20.25" customHeight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"),28)</f>
        <v>28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20.25" customHeight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"),376.425)</f>
        <v>376.42500000000001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20.25" hidden="1" customHeight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20.25" hidden="1" customHeight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334">L738+L739</f>
        <v>0</v>
      </c>
      <c r="M737" s="598">
        <f t="shared" si="334"/>
        <v>0</v>
      </c>
      <c r="N737" s="598">
        <f t="shared" si="334"/>
        <v>0</v>
      </c>
      <c r="O737" s="598">
        <f t="shared" ref="O737:O742" si="335">IF(L737&gt;0,N737*100/L737,0)</f>
        <v>0</v>
      </c>
      <c r="P737" s="598">
        <f t="shared" ref="P737:P742" si="33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20.25" hidden="1" customHeight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20.25" hidden="1" customHeight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20.25" hidden="1" customHeight="1">
      <c r="A740" s="561"/>
      <c r="B740" s="566"/>
      <c r="C740" s="562"/>
      <c r="D740" s="714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339">L741+L742</f>
        <v>0</v>
      </c>
      <c r="M740" s="598">
        <f t="shared" si="339"/>
        <v>0</v>
      </c>
      <c r="N740" s="598">
        <f t="shared" si="339"/>
        <v>0</v>
      </c>
      <c r="O740" s="598">
        <f t="shared" si="335"/>
        <v>0</v>
      </c>
      <c r="P740" s="598">
        <f t="shared" si="33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20.25" hidden="1" customHeight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335"/>
        <v>0</v>
      </c>
      <c r="P741" s="45">
        <f t="shared" si="33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20.25" hidden="1" customHeight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20.25" hidden="1" customHeight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20.25" hidden="1" customHeight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20.25" hidden="1" customHeight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20.25" hidden="1" customHeight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20.25" hidden="1" customHeight="1">
      <c r="A747" s="561"/>
      <c r="B747" s="566"/>
      <c r="C747" s="562"/>
      <c r="D747" s="714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340">L748+L749</f>
        <v>0</v>
      </c>
      <c r="M747" s="598">
        <f t="shared" si="340"/>
        <v>0</v>
      </c>
      <c r="N747" s="598">
        <f t="shared" si="340"/>
        <v>0</v>
      </c>
      <c r="O747" s="598">
        <f t="shared" ref="O747:O749" si="341">IF(L747&gt;0,N747*100/L747,0)</f>
        <v>0</v>
      </c>
      <c r="P747" s="598">
        <f t="shared" ref="P747:P749" si="342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20.25" hidden="1" customHeight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41"/>
        <v>0</v>
      </c>
      <c r="P748" s="45">
        <f t="shared" si="342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20.25" hidden="1" customHeight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41"/>
        <v>0</v>
      </c>
      <c r="P749" s="45">
        <f t="shared" si="342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20.25" hidden="1" customHeight="1">
      <c r="A750" s="574"/>
      <c r="B750" s="575"/>
      <c r="C750" s="562" t="s">
        <v>16</v>
      </c>
      <c r="D750" s="716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20.25" hidden="1" customHeight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20.25" hidden="1" customHeight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20.25" hidden="1" customHeight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20.25" hidden="1" customHeight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43">L755+L756</f>
        <v>0</v>
      </c>
      <c r="M754" s="598">
        <f t="shared" si="343"/>
        <v>0</v>
      </c>
      <c r="N754" s="598">
        <f t="shared" si="343"/>
        <v>0</v>
      </c>
      <c r="O754" s="598">
        <f t="shared" ref="O754:O759" si="344">IF(L754&gt;0,N754*100/L754,0)</f>
        <v>0</v>
      </c>
      <c r="P754" s="598">
        <f t="shared" ref="P754:P759" si="345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20.25" hidden="1" customHeight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20.25" hidden="1" customHeight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20.25" hidden="1" customHeight="1">
      <c r="A757" s="561"/>
      <c r="B757" s="566"/>
      <c r="C757" s="562"/>
      <c r="D757" s="714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48">L758+L759</f>
        <v>0</v>
      </c>
      <c r="M757" s="598">
        <f t="shared" si="348"/>
        <v>0</v>
      </c>
      <c r="N757" s="598">
        <f t="shared" si="348"/>
        <v>0</v>
      </c>
      <c r="O757" s="598">
        <f t="shared" si="344"/>
        <v>0</v>
      </c>
      <c r="P757" s="598">
        <f t="shared" si="345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20.25" hidden="1" customHeight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44"/>
        <v>0</v>
      </c>
      <c r="P758" s="45">
        <f t="shared" si="345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20.25" hidden="1" customHeight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20.25" hidden="1" customHeight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20.25" hidden="1" customHeight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20.25" hidden="1" customHeight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20.25" hidden="1" customHeight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20.25" hidden="1" customHeight="1">
      <c r="A764" s="561"/>
      <c r="B764" s="566"/>
      <c r="C764" s="562"/>
      <c r="D764" s="714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49">L765+L766</f>
        <v>0</v>
      </c>
      <c r="M764" s="598">
        <f t="shared" si="349"/>
        <v>0</v>
      </c>
      <c r="N764" s="598">
        <f t="shared" si="349"/>
        <v>0</v>
      </c>
      <c r="O764" s="598">
        <f t="shared" ref="O764:O766" si="350">IF(L764&gt;0,N764*100/L764,0)</f>
        <v>0</v>
      </c>
      <c r="P764" s="598">
        <f t="shared" ref="P764:P766" si="351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20.25" hidden="1" customHeight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50"/>
        <v>0</v>
      </c>
      <c r="P765" s="45">
        <f t="shared" si="351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20.25" hidden="1" customHeight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50"/>
        <v>0</v>
      </c>
      <c r="P766" s="45">
        <f t="shared" si="351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20.25" hidden="1" customHeight="1">
      <c r="A767" s="574"/>
      <c r="B767" s="575"/>
      <c r="C767" s="562" t="s">
        <v>16</v>
      </c>
      <c r="D767" s="716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20.25" hidden="1" customHeight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20.25" hidden="1" customHeight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20.25" hidden="1" customHeight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52">L771+L772</f>
        <v>0</v>
      </c>
      <c r="M770" s="598">
        <f t="shared" si="352"/>
        <v>0</v>
      </c>
      <c r="N770" s="598">
        <f t="shared" si="352"/>
        <v>0</v>
      </c>
      <c r="O770" s="598">
        <f t="shared" ref="O770:O775" si="353">IF(L770&gt;0,N770*100/L770,0)</f>
        <v>0</v>
      </c>
      <c r="P770" s="598">
        <f t="shared" ref="P770:P775" si="354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20.25" hidden="1" customHeight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20.25" hidden="1" customHeight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20.25" hidden="1" customHeight="1">
      <c r="A773" s="561"/>
      <c r="B773" s="566"/>
      <c r="C773" s="562"/>
      <c r="D773" s="714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57">L774+L775</f>
        <v>0</v>
      </c>
      <c r="M773" s="598">
        <f t="shared" si="357"/>
        <v>0</v>
      </c>
      <c r="N773" s="598">
        <f t="shared" si="357"/>
        <v>0</v>
      </c>
      <c r="O773" s="598">
        <f t="shared" si="353"/>
        <v>0</v>
      </c>
      <c r="P773" s="598">
        <f t="shared" si="354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20.25" hidden="1" customHeight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53"/>
        <v>0</v>
      </c>
      <c r="P774" s="45">
        <f t="shared" si="354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20.25" hidden="1" customHeight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20.25" hidden="1" customHeight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20.25" hidden="1" customHeight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20.25" hidden="1" customHeight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20.25" hidden="1" customHeight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20.25" hidden="1" customHeight="1">
      <c r="A780" s="561"/>
      <c r="B780" s="566"/>
      <c r="C780" s="562"/>
      <c r="D780" s="714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58">L781+L782</f>
        <v>0</v>
      </c>
      <c r="M780" s="598">
        <f t="shared" si="358"/>
        <v>0</v>
      </c>
      <c r="N780" s="598">
        <f t="shared" si="358"/>
        <v>0</v>
      </c>
      <c r="O780" s="598">
        <f t="shared" ref="O780:O782" si="359">IF(L780&gt;0,N780*100/L780,0)</f>
        <v>0</v>
      </c>
      <c r="P780" s="598">
        <f t="shared" ref="P780:P782" si="360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20.25" hidden="1" customHeight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59"/>
        <v>0</v>
      </c>
      <c r="P781" s="45">
        <f t="shared" si="360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20.25" hidden="1" customHeight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59"/>
        <v>0</v>
      </c>
      <c r="P782" s="45">
        <f t="shared" si="360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20.25" hidden="1" customHeight="1">
      <c r="A783" s="574"/>
      <c r="B783" s="575"/>
      <c r="C783" s="562" t="s">
        <v>16</v>
      </c>
      <c r="D783" s="716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20.25" hidden="1" customHeight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20.25" customHeight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738" t="s">
        <v>46</v>
      </c>
      <c r="I785" s="739">
        <f t="shared" ref="I785:J785" ca="1" si="361">I801+I803</f>
        <v>5000</v>
      </c>
      <c r="J785" s="739">
        <f t="shared" ca="1" si="361"/>
        <v>1342</v>
      </c>
      <c r="K785" s="740">
        <f ca="1">IF(I785&gt;0,J785*100/I785,0)</f>
        <v>26.84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20.25" customHeight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742" t="s">
        <v>12</v>
      </c>
      <c r="I786" s="743"/>
      <c r="J786" s="743"/>
      <c r="K786" s="744"/>
      <c r="L786" s="191">
        <f t="shared" ref="L786:N786" ca="1" si="362">L787+L788</f>
        <v>335200</v>
      </c>
      <c r="M786" s="191">
        <f t="shared" ca="1" si="362"/>
        <v>335200</v>
      </c>
      <c r="N786" s="191">
        <f t="shared" ca="1" si="362"/>
        <v>137933.33000000002</v>
      </c>
      <c r="O786" s="191">
        <f t="shared" ref="O786:O791" ca="1" si="363">IF(L786&gt;0,N786*100/L786,0)</f>
        <v>41.149561455847262</v>
      </c>
      <c r="P786" s="191">
        <f t="shared" ref="P786:P791" ca="1" si="364">IF(M786&gt;0,N786*100/M786,0)</f>
        <v>41.149561455847262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20.25" hidden="1" customHeight="1">
      <c r="A787" s="561"/>
      <c r="B787" s="566"/>
      <c r="C787" s="562"/>
      <c r="D787" s="563"/>
      <c r="E787" s="562" t="s">
        <v>185</v>
      </c>
      <c r="F787" s="562"/>
      <c r="G787" s="564"/>
      <c r="H787" s="745" t="s">
        <v>12</v>
      </c>
      <c r="I787" s="743"/>
      <c r="J787" s="743"/>
      <c r="K787" s="744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20.25" hidden="1" customHeight="1">
      <c r="A788" s="561"/>
      <c r="B788" s="566"/>
      <c r="C788" s="566"/>
      <c r="D788" s="575"/>
      <c r="E788" s="562" t="s">
        <v>186</v>
      </c>
      <c r="F788" s="562"/>
      <c r="G788" s="564"/>
      <c r="H788" s="745" t="s">
        <v>12</v>
      </c>
      <c r="I788" s="743"/>
      <c r="J788" s="743"/>
      <c r="K788" s="744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137933.33000000002</v>
      </c>
      <c r="O788" s="45">
        <f t="shared" ca="1" si="363"/>
        <v>41.149561455847262</v>
      </c>
      <c r="P788" s="45">
        <f t="shared" ca="1" si="364"/>
        <v>41.149561455847262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20.25" customHeight="1">
      <c r="A789" s="559"/>
      <c r="B789" s="538"/>
      <c r="C789" s="538"/>
      <c r="D789" s="567" t="s">
        <v>20</v>
      </c>
      <c r="E789" s="539"/>
      <c r="F789" s="539"/>
      <c r="G789" s="186"/>
      <c r="H789" s="746" t="s">
        <v>12</v>
      </c>
      <c r="I789" s="747"/>
      <c r="J789" s="747"/>
      <c r="K789" s="748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137933.33000000002</v>
      </c>
      <c r="O789" s="38">
        <f t="shared" ca="1" si="363"/>
        <v>41.149561455847262</v>
      </c>
      <c r="P789" s="38">
        <f t="shared" ca="1" si="364"/>
        <v>41.149561455847262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20.25" hidden="1" customHeight="1">
      <c r="A790" s="561"/>
      <c r="B790" s="566"/>
      <c r="C790" s="566"/>
      <c r="D790" s="575"/>
      <c r="E790" s="562" t="s">
        <v>185</v>
      </c>
      <c r="F790" s="562"/>
      <c r="G790" s="564"/>
      <c r="H790" s="745" t="s">
        <v>12</v>
      </c>
      <c r="I790" s="743"/>
      <c r="J790" s="743"/>
      <c r="K790" s="744"/>
      <c r="L790" s="45">
        <v>0</v>
      </c>
      <c r="M790" s="45">
        <v>0</v>
      </c>
      <c r="N790" s="45">
        <v>0</v>
      </c>
      <c r="O790" s="45">
        <f t="shared" si="363"/>
        <v>0</v>
      </c>
      <c r="P790" s="45">
        <f t="shared" si="364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20.25" hidden="1" customHeight="1">
      <c r="A791" s="561"/>
      <c r="B791" s="566"/>
      <c r="C791" s="566"/>
      <c r="D791" s="575"/>
      <c r="E791" s="562" t="s">
        <v>186</v>
      </c>
      <c r="F791" s="562"/>
      <c r="G791" s="564"/>
      <c r="H791" s="745" t="s">
        <v>12</v>
      </c>
      <c r="I791" s="743"/>
      <c r="J791" s="743"/>
      <c r="K791" s="744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45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137933.33000000002</v>
      </c>
      <c r="O791" s="45">
        <f t="shared" ca="1" si="363"/>
        <v>41.149561455847262</v>
      </c>
      <c r="P791" s="45">
        <f t="shared" ca="1" si="364"/>
        <v>41.149561455847262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20.25" customHeight="1">
      <c r="A792" s="537"/>
      <c r="B792" s="538"/>
      <c r="C792" s="539"/>
      <c r="D792" s="539"/>
      <c r="E792" s="539"/>
      <c r="F792" s="539" t="s">
        <v>187</v>
      </c>
      <c r="G792" s="186"/>
      <c r="H792" s="746" t="s">
        <v>12</v>
      </c>
      <c r="I792" s="743"/>
      <c r="J792" s="743"/>
      <c r="K792" s="744"/>
      <c r="L792" s="38"/>
      <c r="M792" s="38"/>
      <c r="N792" s="271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20.25" customHeight="1">
      <c r="A793" s="537"/>
      <c r="B793" s="538"/>
      <c r="C793" s="539"/>
      <c r="D793" s="539"/>
      <c r="E793" s="539"/>
      <c r="F793" s="539" t="s">
        <v>188</v>
      </c>
      <c r="G793" s="186"/>
      <c r="H793" s="746" t="s">
        <v>12</v>
      </c>
      <c r="I793" s="743"/>
      <c r="J793" s="743"/>
      <c r="K793" s="744"/>
      <c r="L793" s="38"/>
      <c r="M793" s="38"/>
      <c r="N793" s="271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20.25" customHeight="1">
      <c r="A794" s="537"/>
      <c r="B794" s="538"/>
      <c r="C794" s="539"/>
      <c r="D794" s="539"/>
      <c r="E794" s="539"/>
      <c r="F794" s="539" t="s">
        <v>189</v>
      </c>
      <c r="G794" s="186"/>
      <c r="H794" s="746" t="s">
        <v>12</v>
      </c>
      <c r="I794" s="743"/>
      <c r="J794" s="743"/>
      <c r="K794" s="744"/>
      <c r="L794" s="38"/>
      <c r="M794" s="38"/>
      <c r="N794" s="271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20.25" customHeight="1">
      <c r="A795" s="537"/>
      <c r="B795" s="538"/>
      <c r="C795" s="539"/>
      <c r="D795" s="539"/>
      <c r="E795" s="539"/>
      <c r="F795" s="539" t="s">
        <v>190</v>
      </c>
      <c r="G795" s="186"/>
      <c r="H795" s="746" t="s">
        <v>12</v>
      </c>
      <c r="I795" s="743"/>
      <c r="J795" s="743"/>
      <c r="K795" s="744"/>
      <c r="L795" s="38"/>
      <c r="M795" s="38"/>
      <c r="N795" s="271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20.25" customHeight="1">
      <c r="A796" s="559"/>
      <c r="B796" s="538"/>
      <c r="C796" s="539"/>
      <c r="D796" s="567" t="s">
        <v>21</v>
      </c>
      <c r="E796" s="539"/>
      <c r="F796" s="539"/>
      <c r="G796" s="186"/>
      <c r="H796" s="749" t="s">
        <v>12</v>
      </c>
      <c r="I796" s="747"/>
      <c r="J796" s="747"/>
      <c r="K796" s="748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20.25" hidden="1" customHeight="1">
      <c r="A797" s="561"/>
      <c r="B797" s="566"/>
      <c r="C797" s="562"/>
      <c r="D797" s="562"/>
      <c r="E797" s="562" t="s">
        <v>18</v>
      </c>
      <c r="F797" s="562"/>
      <c r="G797" s="564"/>
      <c r="H797" s="745" t="s">
        <v>12</v>
      </c>
      <c r="I797" s="747"/>
      <c r="J797" s="747"/>
      <c r="K797" s="748"/>
      <c r="L797" s="45">
        <v>0</v>
      </c>
      <c r="M797" s="45">
        <v>0</v>
      </c>
      <c r="N797" s="45">
        <v>0</v>
      </c>
      <c r="O797" s="45">
        <f t="shared" si="369"/>
        <v>0</v>
      </c>
      <c r="P797" s="45">
        <f t="shared" si="370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20.25" hidden="1" customHeight="1">
      <c r="A798" s="561"/>
      <c r="B798" s="566"/>
      <c r="C798" s="562"/>
      <c r="D798" s="562"/>
      <c r="E798" s="562" t="s">
        <v>19</v>
      </c>
      <c r="F798" s="562"/>
      <c r="G798" s="564"/>
      <c r="H798" s="750" t="s">
        <v>12</v>
      </c>
      <c r="I798" s="747"/>
      <c r="J798" s="747"/>
      <c r="K798" s="748"/>
      <c r="L798" s="45">
        <v>0</v>
      </c>
      <c r="M798" s="45">
        <v>0</v>
      </c>
      <c r="N798" s="45">
        <v>0</v>
      </c>
      <c r="O798" s="45">
        <f t="shared" si="369"/>
        <v>0</v>
      </c>
      <c r="P798" s="45">
        <f t="shared" si="370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20.25" customHeight="1">
      <c r="A799" s="568"/>
      <c r="B799" s="569"/>
      <c r="C799" s="539" t="s">
        <v>16</v>
      </c>
      <c r="D799" s="698" t="s">
        <v>38</v>
      </c>
      <c r="E799" s="572"/>
      <c r="F799" s="572"/>
      <c r="G799" s="573"/>
      <c r="H799" s="751"/>
      <c r="I799" s="747"/>
      <c r="J799" s="747"/>
      <c r="K799" s="748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20.25" customHeight="1">
      <c r="A800" s="568"/>
      <c r="B800" s="569"/>
      <c r="C800" s="569"/>
      <c r="D800" s="569"/>
      <c r="E800" s="184"/>
      <c r="F800" s="184" t="s">
        <v>321</v>
      </c>
      <c r="G800" s="174"/>
      <c r="H800" s="752" t="s">
        <v>34</v>
      </c>
      <c r="I800" s="747"/>
      <c r="J800" s="753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744"/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20.25" customHeight="1">
      <c r="A801" s="568"/>
      <c r="B801" s="569"/>
      <c r="C801" s="569"/>
      <c r="D801" s="569"/>
      <c r="E801" s="184"/>
      <c r="F801" s="184"/>
      <c r="G801" s="174"/>
      <c r="H801" s="746" t="s">
        <v>46</v>
      </c>
      <c r="I801" s="753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754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755">
        <f ca="1">IF(I801&gt;0,J801*100/I801,0)</f>
        <v>26.84</v>
      </c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20.25" customHeight="1">
      <c r="A802" s="574"/>
      <c r="B802" s="575"/>
      <c r="C802" s="575"/>
      <c r="D802" s="575"/>
      <c r="E802" s="563"/>
      <c r="F802" s="756" t="s">
        <v>322</v>
      </c>
      <c r="G802" s="351"/>
      <c r="H802" s="752" t="s">
        <v>34</v>
      </c>
      <c r="I802" s="747"/>
      <c r="J802" s="753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744"/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20.25" customHeight="1">
      <c r="A803" s="574"/>
      <c r="B803" s="575"/>
      <c r="C803" s="575"/>
      <c r="D803" s="575"/>
      <c r="E803" s="563"/>
      <c r="F803" s="563"/>
      <c r="G803" s="351"/>
      <c r="H803" s="752" t="s">
        <v>46</v>
      </c>
      <c r="I803" s="753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754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755">
        <f t="shared" ref="K803:K804" ca="1" si="371">IF(I803&gt;0,J803*100/I803,0)</f>
        <v>0</v>
      </c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20.25" hidden="1" customHeight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 t="shared" si="371"/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20.25" hidden="1" customHeight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72">L806+L807</f>
        <v>0</v>
      </c>
      <c r="M805" s="598">
        <f t="shared" si="372"/>
        <v>0</v>
      </c>
      <c r="N805" s="598">
        <f t="shared" si="372"/>
        <v>0</v>
      </c>
      <c r="O805" s="598">
        <f t="shared" ref="O805:O810" si="373">IF(L805&gt;0,N805*100/L805,0)</f>
        <v>0</v>
      </c>
      <c r="P805" s="598">
        <f t="shared" ref="P805:P810" si="374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20.25" hidden="1" customHeight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20.25" hidden="1" customHeight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20.25" hidden="1" customHeight="1">
      <c r="A808" s="561"/>
      <c r="B808" s="566"/>
      <c r="C808" s="562"/>
      <c r="D808" s="797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77">L809+L810</f>
        <v>0</v>
      </c>
      <c r="M808" s="598">
        <f t="shared" si="377"/>
        <v>0</v>
      </c>
      <c r="N808" s="598">
        <f t="shared" si="377"/>
        <v>0</v>
      </c>
      <c r="O808" s="598">
        <f t="shared" si="373"/>
        <v>0</v>
      </c>
      <c r="P808" s="598">
        <f t="shared" si="374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20.25" hidden="1" customHeight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73"/>
        <v>0</v>
      </c>
      <c r="P809" s="45">
        <f t="shared" si="374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20.25" hidden="1" customHeight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20.25" hidden="1" customHeight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20.25" hidden="1" customHeight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20.25" hidden="1" customHeight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20.25" hidden="1" customHeight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20.25" hidden="1" customHeight="1">
      <c r="A815" s="561"/>
      <c r="B815" s="566"/>
      <c r="C815" s="562"/>
      <c r="D815" s="797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78">L816+L817</f>
        <v>0</v>
      </c>
      <c r="M815" s="598">
        <f t="shared" si="378"/>
        <v>0</v>
      </c>
      <c r="N815" s="598">
        <f t="shared" si="378"/>
        <v>0</v>
      </c>
      <c r="O815" s="598">
        <f t="shared" ref="O815:O817" si="379">IF(L815&gt;0,N815*100/L815,0)</f>
        <v>0</v>
      </c>
      <c r="P815" s="598">
        <f t="shared" ref="P815:P817" si="380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20.25" hidden="1" customHeight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79"/>
        <v>0</v>
      </c>
      <c r="P816" s="45">
        <f t="shared" si="380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20.25" hidden="1" customHeight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79"/>
        <v>0</v>
      </c>
      <c r="P817" s="45">
        <f t="shared" si="380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20.25" hidden="1" customHeight="1">
      <c r="A818" s="574"/>
      <c r="B818" s="575"/>
      <c r="C818" s="562" t="s">
        <v>16</v>
      </c>
      <c r="D818" s="758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20.25" hidden="1" customHeigh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20.25" customHeight="1">
      <c r="A820" s="766" t="s">
        <v>325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20.25" customHeight="1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"),103463764.29)</f>
        <v>103463764.29000001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"),81759919.69)</f>
        <v>81759919.689999998</v>
      </c>
      <c r="K821" s="38">
        <f t="shared" ref="K821:K828" ca="1" si="381">IF(I821&gt;0,J821*100/I821,0)</f>
        <v>79.022757630230814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20.25" customHeight="1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"),3940)</f>
        <v>3940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"),3123)</f>
        <v>3123</v>
      </c>
      <c r="K822" s="38">
        <f t="shared" ca="1" si="381"/>
        <v>79.263959390862951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20.25" customHeight="1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"),12268202.24)</f>
        <v>12268202.24</v>
      </c>
      <c r="K823" s="38">
        <f t="shared" ca="1" si="381"/>
        <v>11.694309440873587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20.25" customHeight="1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"),1179)</f>
        <v>1179</v>
      </c>
      <c r="K824" s="38">
        <f t="shared" ca="1" si="381"/>
        <v>38.069099128188569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20.25" customHeight="1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"),13943210.27)</f>
        <v>13943210.27</v>
      </c>
      <c r="K825" s="38">
        <f t="shared" ca="1" si="381"/>
        <v>32.727897831299671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20.25" customHeight="1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"),7764)</f>
        <v>7764</v>
      </c>
      <c r="K826" s="38">
        <f t="shared" ca="1" si="381"/>
        <v>69.757412398921829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20.25" customHeight="1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"),89145000)</f>
        <v>89145000</v>
      </c>
      <c r="K827" s="38">
        <f t="shared" ca="1" si="381"/>
        <v>79.296388542963882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20.25" customHeight="1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365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"),2351)</f>
        <v>2351</v>
      </c>
      <c r="K828" s="472">
        <f t="shared" ca="1" si="381"/>
        <v>60.08177868642985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ECD9-4448-4E18-BC02-25878E40A3E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347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3328599.34</v>
      </c>
      <c r="N8" s="22">
        <f t="shared" ca="1" si="0"/>
        <v>2673962.5100000002</v>
      </c>
      <c r="O8" s="22">
        <f t="shared" ref="O8:O16" ca="1" si="1">IF(L8&gt;0,N8*100/L8,0)</f>
        <v>86.006050420708647</v>
      </c>
      <c r="P8" s="22">
        <f t="shared" ref="P8:P16" ca="1" si="2">IF(M8&gt;0,N8*100/M8,0)</f>
        <v>80.332964014827937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3328599.34</v>
      </c>
      <c r="N10" s="30">
        <f t="shared" ca="1" si="3"/>
        <v>2673962.5100000002</v>
      </c>
      <c r="O10" s="30">
        <f t="shared" ca="1" si="1"/>
        <v>86.006050420708647</v>
      </c>
      <c r="P10" s="30">
        <f t="shared" ca="1" si="2"/>
        <v>80.332964014827937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2995240</v>
      </c>
      <c r="M11" s="38">
        <f t="shared" ca="1" si="4"/>
        <v>3214799.34</v>
      </c>
      <c r="N11" s="38">
        <f t="shared" ca="1" si="4"/>
        <v>2560162.5100000002</v>
      </c>
      <c r="O11" s="38">
        <f t="shared" ca="1" si="1"/>
        <v>85.474369666537584</v>
      </c>
      <c r="P11" s="38">
        <f t="shared" ca="1" si="2"/>
        <v>79.636774779230862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2995240</v>
      </c>
      <c r="M13" s="45">
        <f t="shared" ca="1" si="5"/>
        <v>3214799.34</v>
      </c>
      <c r="N13" s="45">
        <f t="shared" ca="1" si="5"/>
        <v>2560162.5100000002</v>
      </c>
      <c r="O13" s="45">
        <f t="shared" ca="1" si="1"/>
        <v>85.474369666537584</v>
      </c>
      <c r="P13" s="45">
        <f t="shared" ca="1" si="2"/>
        <v>79.636774779230862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113800</v>
      </c>
      <c r="M14" s="38">
        <f t="shared" ca="1" si="6"/>
        <v>113800</v>
      </c>
      <c r="N14" s="38">
        <f t="shared" ca="1" si="6"/>
        <v>113800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3038729.34</v>
      </c>
      <c r="N18" s="22">
        <f t="shared" ca="1" si="8"/>
        <v>2515597.5100000002</v>
      </c>
      <c r="O18" s="22">
        <f t="shared" ref="O18:O26" ca="1" si="9">IF(L18&gt;0,N18*100/L18,0)</f>
        <v>89.231848735620773</v>
      </c>
      <c r="P18" s="22">
        <f t="shared" ref="P18:P26" ca="1" si="10">IF(M18&gt;0,N18*100/M18,0)</f>
        <v>82.784520387722338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3038729.34</v>
      </c>
      <c r="N20" s="30">
        <f t="shared" ca="1" si="11"/>
        <v>2515597.5100000002</v>
      </c>
      <c r="O20" s="30">
        <f t="shared" ca="1" si="9"/>
        <v>89.231848735620773</v>
      </c>
      <c r="P20" s="30">
        <f t="shared" ca="1" si="10"/>
        <v>82.784520387722338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2705370</v>
      </c>
      <c r="M21" s="38">
        <f t="shared" ca="1" si="12"/>
        <v>2924929.34</v>
      </c>
      <c r="N21" s="38">
        <f t="shared" ca="1" si="12"/>
        <v>2401797.5100000002</v>
      </c>
      <c r="O21" s="38">
        <f t="shared" ca="1" si="9"/>
        <v>88.778891981503463</v>
      </c>
      <c r="P21" s="38">
        <f t="shared" ca="1" si="10"/>
        <v>82.114719051640421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2705370</v>
      </c>
      <c r="M23" s="45">
        <f t="shared" ca="1" si="13"/>
        <v>2924929.34</v>
      </c>
      <c r="N23" s="45">
        <f t="shared" ca="1" si="13"/>
        <v>2401797.5100000002</v>
      </c>
      <c r="O23" s="45">
        <f t="shared" ca="1" si="9"/>
        <v>88.778891981503463</v>
      </c>
      <c r="P23" s="45">
        <f t="shared" ca="1" si="10"/>
        <v>82.114719051640421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113800</v>
      </c>
      <c r="M24" s="38">
        <f t="shared" ca="1" si="14"/>
        <v>113800</v>
      </c>
      <c r="N24" s="38">
        <f t="shared" ca="1" si="14"/>
        <v>113800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158365</v>
      </c>
      <c r="O28" s="22">
        <f t="shared" ref="O28:O37" ca="1" si="17">IF(L28&gt;0,N28*100/L28,0)</f>
        <v>54.633111394763169</v>
      </c>
      <c r="P28" s="22">
        <f t="shared" ref="P28:P37" ca="1" si="18">IF(M28&gt;0,N28*100/M28,0)</f>
        <v>54.633111394763169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158365</v>
      </c>
      <c r="O30" s="30">
        <f t="shared" ca="1" si="17"/>
        <v>54.633111394763169</v>
      </c>
      <c r="P30" s="30">
        <f t="shared" ca="1" si="18"/>
        <v>54.633111394763169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289870</v>
      </c>
      <c r="M31" s="38">
        <f t="shared" ca="1" si="20"/>
        <v>289870</v>
      </c>
      <c r="N31" s="38">
        <f t="shared" si="20"/>
        <v>158365</v>
      </c>
      <c r="O31" s="38">
        <f t="shared" ca="1" si="17"/>
        <v>54.633111394763169</v>
      </c>
      <c r="P31" s="38">
        <f t="shared" ca="1" si="18"/>
        <v>54.633111394763169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289870</v>
      </c>
      <c r="M33" s="45">
        <f t="shared" ca="1" si="21"/>
        <v>289870</v>
      </c>
      <c r="N33" s="45">
        <f t="shared" si="21"/>
        <v>158365</v>
      </c>
      <c r="O33" s="45">
        <f t="shared" ca="1" si="17"/>
        <v>54.633111394763169</v>
      </c>
      <c r="P33" s="45">
        <f t="shared" ca="1" si="18"/>
        <v>54.633111394763169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3038729.34</v>
      </c>
      <c r="N37" s="59">
        <f t="shared" ca="1" si="24"/>
        <v>2515597.5100000002</v>
      </c>
      <c r="O37" s="59">
        <f t="shared" ca="1" si="17"/>
        <v>89.231848735620773</v>
      </c>
      <c r="P37" s="59">
        <f t="shared" ca="1" si="18"/>
        <v>82.784520387722338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596329.34</v>
      </c>
      <c r="N41" s="85">
        <f t="shared" ca="1" si="25"/>
        <v>486229.34</v>
      </c>
      <c r="O41" s="85">
        <f t="shared" ref="O41:O49" ca="1" si="26">IF(L41&gt;0,N41*100/L41,0)</f>
        <v>106.20999126256007</v>
      </c>
      <c r="P41" s="85">
        <f t="shared" ref="P41:P49" ca="1" si="27">IF(M41&gt;0,N41*100/M41,0)</f>
        <v>81.537047967487226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596329.34</v>
      </c>
      <c r="N43" s="92">
        <f t="shared" ca="1" si="28"/>
        <v>486229.34</v>
      </c>
      <c r="O43" s="92">
        <f t="shared" ca="1" si="26"/>
        <v>106.20999126256007</v>
      </c>
      <c r="P43" s="92">
        <f t="shared" ca="1" si="27"/>
        <v>81.537047967487226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457800</v>
      </c>
      <c r="M44" s="38">
        <f t="shared" ca="1" si="29"/>
        <v>596329.34</v>
      </c>
      <c r="N44" s="38">
        <f t="shared" ca="1" si="29"/>
        <v>486229.34</v>
      </c>
      <c r="O44" s="38">
        <f t="shared" ca="1" si="26"/>
        <v>106.20999126256007</v>
      </c>
      <c r="P44" s="38">
        <f t="shared" ca="1" si="27"/>
        <v>81.537047967487226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IFERROR(__xludf.DUMMYFUNCTION("IMPORTRANGE(""https://docs.google.com/spreadsheets/d/1MeEWN-I1oV_STSDYn1IFDPWt_1FKiwhDph83XaGc0o0/edit?usp=sharing"",""งบพรบ!M61"")"),457800)</f>
        <v>457800</v>
      </c>
      <c r="M46" s="45">
        <f ca="1">IFERROR(__xludf.DUMMYFUNCTION("IMPORTRANGE(""https://docs.google.com/spreadsheets/d/1MeEWN-I1oV_STSDYn1IFDPWt_1FKiwhDph83XaGc0o0/edit?usp=sharing"",""งบพรบ!R61"")"),596329.34)</f>
        <v>596329.34</v>
      </c>
      <c r="N46" s="45">
        <f ca="1">IFERROR(__xludf.DUMMYFUNCTION("IMPORTRANGE(""https://docs.google.com/spreadsheets/d/1MeEWN-I1oV_STSDYn1IFDPWt_1FKiwhDph83XaGc0o0/edit?usp=sharing"",""งบพรบ!T61"")"),486229.34)</f>
        <v>486229.34</v>
      </c>
      <c r="O46" s="45">
        <f t="shared" ca="1" si="26"/>
        <v>106.20999126256007</v>
      </c>
      <c r="P46" s="45">
        <f t="shared" ca="1" si="27"/>
        <v>81.537047967487226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663500</v>
      </c>
      <c r="M53" s="115">
        <f t="shared" ca="1" si="31"/>
        <v>664400</v>
      </c>
      <c r="N53" s="115">
        <f t="shared" ca="1" si="31"/>
        <v>631272.55000000005</v>
      </c>
      <c r="O53" s="115">
        <f t="shared" ref="O53:O61" ca="1" si="32">IF(L53&gt;0,N53*100/L53,0)</f>
        <v>95.142810851544851</v>
      </c>
      <c r="P53" s="115">
        <f t="shared" ref="P53:P61" ca="1" si="33">IF(M53&gt;0,N53*100/M53,0)</f>
        <v>95.013929861529206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663500</v>
      </c>
      <c r="M55" s="122">
        <f t="shared" ca="1" si="34"/>
        <v>664400</v>
      </c>
      <c r="N55" s="122">
        <f t="shared" ca="1" si="34"/>
        <v>631272.55000000005</v>
      </c>
      <c r="O55" s="122">
        <f t="shared" ca="1" si="32"/>
        <v>95.142810851544851</v>
      </c>
      <c r="P55" s="122">
        <f t="shared" ca="1" si="33"/>
        <v>95.013929861529206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663500</v>
      </c>
      <c r="M56" s="38">
        <f t="shared" ca="1" si="35"/>
        <v>664400</v>
      </c>
      <c r="N56" s="38">
        <f t="shared" ca="1" si="35"/>
        <v>631272.55000000005</v>
      </c>
      <c r="O56" s="38">
        <f t="shared" ca="1" si="32"/>
        <v>95.142810851544851</v>
      </c>
      <c r="P56" s="38">
        <f t="shared" ca="1" si="33"/>
        <v>95.013929861529206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IFERROR(__xludf.DUMMYFUNCTION("IMPORTRANGE(""https://docs.google.com/spreadsheets/d/1MeEWN-I1oV_STSDYn1IFDPWt_1FKiwhDph83XaGc0o0/edit?usp=sharing"",""งบพรบ!W61"")"),663500)</f>
        <v>663500</v>
      </c>
      <c r="M58" s="45">
        <f ca="1">IFERROR(__xludf.DUMMYFUNCTION("IMPORTRANGE(""https://docs.google.com/spreadsheets/d/1MeEWN-I1oV_STSDYn1IFDPWt_1FKiwhDph83XaGc0o0/edit?usp=sharing"",""งบพรบ!AB61"")"),664400)</f>
        <v>664400</v>
      </c>
      <c r="N58" s="45">
        <f ca="1">IFERROR(__xludf.DUMMYFUNCTION("IMPORTRANGE(""https://docs.google.com/spreadsheets/d/1MeEWN-I1oV_STSDYn1IFDPWt_1FKiwhDph83XaGc0o0/edit?usp=sharing"",""งบพรบ!AD61"")"),631272.55)</f>
        <v>631272.55000000005</v>
      </c>
      <c r="O58" s="45">
        <f t="shared" ca="1" si="32"/>
        <v>95.142810851544851</v>
      </c>
      <c r="P58" s="45">
        <f t="shared" ca="1" si="33"/>
        <v>95.013929861529206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IFERROR(__xludf.DUMMYFUNCTION("IMPORTRANGE(""https://docs.google.com/spreadsheets/d/1MeEWN-I1oV_STSDYn1IFDPWt_1FKiwhDph83XaGc0o0/edit?usp=sharing"",""งบพรบ!AG61"")"),0)</f>
        <v>0</v>
      </c>
      <c r="M71" s="45">
        <f ca="1">IFERROR(__xludf.DUMMYFUNCTION("IMPORTRANGE(""https://docs.google.com/spreadsheets/d/1MeEWN-I1oV_STSDYn1IFDPWt_1FKiwhDph83XaGc0o0/edit?usp=sharing"",""งบพรบ!AL61"")"),0)</f>
        <v>0</v>
      </c>
      <c r="N71" s="45">
        <f ca="1">IFERROR(__xludf.DUMMYFUNCTION("IMPORTRANGE(""https://docs.google.com/spreadsheets/d/1MeEWN-I1oV_STSDYn1IFDPWt_1FKiwhDph83XaGc0o0/edit?usp=sharing"",""งบพรบ!AN61"")"),0)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IFERROR(__xludf.DUMMYFUNCTION("IMPORTRANGE(""https://docs.google.com/spreadsheets/d/1MeEWN-I1oV_STSDYn1IFDPWt_1FKiwhDph83XaGc0o0/edit?usp=sharing"",""งบพรบ!AJ61"")"),0)</f>
        <v>0</v>
      </c>
      <c r="M74" s="45">
        <f ca="1">IFERROR(__xludf.DUMMYFUNCTION("IMPORTRANGE(""https://docs.google.com/spreadsheets/d/1MeEWN-I1oV_STSDYn1IFDPWt_1FKiwhDph83XaGc0o0/edit?usp=sharing"",""งบพรบ!AM61"")"),0)</f>
        <v>0</v>
      </c>
      <c r="N74" s="45">
        <f ca="1">IFERROR(__xludf.DUMMYFUNCTION("IMPORTRANGE(""https://docs.google.com/spreadsheets/d/1MeEWN-I1oV_STSDYn1IFDPWt_1FKiwhDph83XaGc0o0/edit?usp=sharing"",""งบพรบ!AO61"")"),0)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IFERROR(__xludf.DUMMYFUNCTION("IMPORTRANGE(""https://docs.google.com/spreadsheets/d/1QqKyyYR6Q21VydFLVH3TRQUabQu_ym0Zz7PgGX0-kHA/edit?usp=sharing"",""แผน!H61"")"),0)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IFERROR(__xludf.DUMMYFUNCTION("IMPORTRANGE(""https://docs.google.com/spreadsheets/d/1QqKyyYR6Q21VydFLVH3TRQUabQu_ym0Zz7PgGX0-kHA/edit?usp=sharing"",""แผน!I61"")"),0)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IFERROR(__xludf.DUMMYFUNCTION("IMPORTRANGE(""https://docs.google.com/spreadsheets/d/1QqKyyYR6Q21VydFLVH3TRQUabQu_ym0Zz7PgGX0-kHA/edit?usp=sharing"",""แผน!F61"")"),0)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IFERROR(__xludf.DUMMYFUNCTION("IMPORTRANGE(""https://docs.google.com/spreadsheets/d/1QqKyyYR6Q21VydFLVH3TRQUabQu_ym0Zz7PgGX0-kHA/edit?usp=sharing"",""แผน!G61"")"),0)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IFERROR(__xludf.DUMMYFUNCTION("IMPORTRANGE(""https://docs.google.com/spreadsheets/d/1QqKyyYR6Q21VydFLVH3TRQUabQu_ym0Zz7PgGX0-kHA/edit?usp=sharing"",""แผน!J61"")"),0)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70450</v>
      </c>
      <c r="O88" s="154">
        <f t="shared" ref="O88:O96" ca="1" si="50">IF(L88&gt;0,N88*100/L88,0)</f>
        <v>81.880520688052073</v>
      </c>
      <c r="P88" s="154">
        <f t="shared" ref="P88:P96" ca="1" si="51">IF(M88&gt;0,N88*100/M88,0)</f>
        <v>81.880520688052073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70450</v>
      </c>
      <c r="O90" s="45">
        <f t="shared" ca="1" si="50"/>
        <v>81.880520688052073</v>
      </c>
      <c r="P90" s="45">
        <f t="shared" ca="1" si="51"/>
        <v>81.880520688052073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70450</v>
      </c>
      <c r="O91" s="38">
        <f t="shared" ca="1" si="50"/>
        <v>81.880520688052073</v>
      </c>
      <c r="P91" s="38">
        <f t="shared" ca="1" si="51"/>
        <v>81.880520688052073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IFERROR(__xludf.DUMMYFUNCTION("IMPORTRANGE(""https://docs.google.com/spreadsheets/d/1MeEWN-I1oV_STSDYn1IFDPWt_1FKiwhDph83XaGc0o0/edit?usp=sharing"",""งบพรบ!AQ61"")"),86040)</f>
        <v>86040</v>
      </c>
      <c r="M93" s="45">
        <f ca="1">IFERROR(__xludf.DUMMYFUNCTION("IMPORTRANGE(""https://docs.google.com/spreadsheets/d/1MeEWN-I1oV_STSDYn1IFDPWt_1FKiwhDph83XaGc0o0/edit?usp=sharing"",""งบพรบ!AV61"")"),86040)</f>
        <v>86040</v>
      </c>
      <c r="N93" s="45">
        <f ca="1">IFERROR(__xludf.DUMMYFUNCTION("IMPORTRANGE(""https://docs.google.com/spreadsheets/d/1MeEWN-I1oV_STSDYn1IFDPWt_1FKiwhDph83XaGc0o0/edit?usp=sharing"",""งบพรบ!AX61"")"),70450)</f>
        <v>70450</v>
      </c>
      <c r="O93" s="45">
        <f t="shared" ca="1" si="50"/>
        <v>81.880520688052073</v>
      </c>
      <c r="P93" s="45">
        <f t="shared" ca="1" si="51"/>
        <v>81.880520688052073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IFERROR(__xludf.DUMMYFUNCTION("IMPORTRANGE(""https://docs.google.com/spreadsheets/d/1MeEWN-I1oV_STSDYn1IFDPWt_1FKiwhDph83XaGc0o0/edit?usp=sharing"",""งบพรบ!AT61"")"),0)</f>
        <v>0</v>
      </c>
      <c r="M96" s="45">
        <f ca="1">IFERROR(__xludf.DUMMYFUNCTION("IMPORTRANGE(""https://docs.google.com/spreadsheets/d/1MeEWN-I1oV_STSDYn1IFDPWt_1FKiwhDph83XaGc0o0/edit?usp=sharing"",""งบพรบ!AW61"")"),0)</f>
        <v>0</v>
      </c>
      <c r="N96" s="45">
        <f ca="1">IFERROR(__xludf.DUMMYFUNCTION("IMPORTRANGE(""https://docs.google.com/spreadsheets/d/1MeEWN-I1oV_STSDYn1IFDPWt_1FKiwhDph83XaGc0o0/edit?usp=sharing"",""งบพรบ!AY61"")"),0)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IFERROR(__xludf.DUMMYFUNCTION("IMPORTRANGE(""https://docs.google.com/spreadsheets/d/1QqKyyYR6Q21VydFLVH3TRQUabQu_ym0Zz7PgGX0-kHA/edit?usp=sharing"",""แผน!K61"")"),30)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IFERROR(__xludf.DUMMYFUNCTION("IMPORTRANGE(""https://docs.google.com/spreadsheets/d/1QqKyyYR6Q21VydFLVH3TRQUabQu_ym0Zz7PgGX0-kHA/edit?usp=sharing"",""แผน!L61"")"),10)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IFERROR(__xludf.DUMMYFUNCTION("IMPORTRANGE(""https://docs.google.com/spreadsheets/d/1QqKyyYR6Q21VydFLVH3TRQUabQu_ym0Zz7PgGX0-kHA/edit?usp=sharing"",""แผน!M61"")"),2)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IFERROR(__xludf.DUMMYFUNCTION("IMPORTRANGE(""https://docs.google.com/spreadsheets/d/1QqKyyYR6Q21VydFLVH3TRQUabQu_ym0Zz7PgGX0-kHA/edit?usp=sharing"",""แผน!N61"")"),30)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IFERROR(__xludf.DUMMYFUNCTION("IMPORTRANGE(""https://docs.google.com/spreadsheets/d/1QqKyyYR6Q21VydFLVH3TRQUabQu_ym0Zz7PgGX0-kHA/edit?usp=sharing"",""แผน!O61"")"),10)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IFERROR(__xludf.DUMMYFUNCTION("IMPORTRANGE(""https://docs.google.com/spreadsheets/d/1QqKyyYR6Q21VydFLVH3TRQUabQu_ym0Zz7PgGX0-kHA/edit?usp=sharing"",""แผน!O61"")"),10)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IFERROR(__xludf.DUMMYFUNCTION("IMPORTRANGE(""https://docs.google.com/spreadsheets/d/1QqKyyYR6Q21VydFLVH3TRQUabQu_ym0Zz7PgGX0-kHA/edit?usp=sharing"",""แผน!P61"")"),1)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IFERROR(__xludf.DUMMYFUNCTION("IMPORTRANGE(""https://docs.google.com/spreadsheets/d/1QqKyyYR6Q21VydFLVH3TRQUabQu_ym0Zz7PgGX0-kHA/edit?usp=sharing"",""แผน!P61"")"),1)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IFERROR(__xludf.DUMMYFUNCTION("IMPORTRANGE(""https://docs.google.com/spreadsheets/d/1QqKyyYR6Q21VydFLVH3TRQUabQu_ym0Zz7PgGX0-kHA/edit?usp=sharing"",""แผน!Q61"")"),1)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IFERROR(__xludf.DUMMYFUNCTION("IMPORTRANGE(""https://docs.google.com/spreadsheets/d/1QqKyyYR6Q21VydFLVH3TRQUabQu_ym0Zz7PgGX0-kHA/edit?usp=sharing"",""แผน!Q61"")"),1)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IFERROR(__xludf.DUMMYFUNCTION("IMPORTRANGE(""https://docs.google.com/spreadsheets/d/1QqKyyYR6Q21VydFLVH3TRQUabQu_ym0Zz7PgGX0-kHA/edit?usp=sharing"",""แผน!R61"")"),10)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IFERROR(__xludf.DUMMYFUNCTION("IMPORTRANGE(""https://docs.google.com/spreadsheets/d/1QqKyyYR6Q21VydFLVH3TRQUabQu_ym0Zz7PgGX0-kHA/edit?usp=sharing"",""แผน!R61"")"),10)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IFERROR(__xludf.DUMMYFUNCTION("IMPORTRANGE(""https://docs.google.com/spreadsheets/d/1QqKyyYR6Q21VydFLVH3TRQUabQu_ym0Zz7PgGX0-kHA/edit?usp=sharing"",""แผน!R61"")"),10)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IFERROR(__xludf.DUMMYFUNCTION("IMPORTRANGE(""https://docs.google.com/spreadsheets/d/1QqKyyYR6Q21VydFLVH3TRQUabQu_ym0Zz7PgGX0-kHA/edit?usp=sharing"",""แผน!S61"")"),1)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IFERROR(__xludf.DUMMYFUNCTION("IMPORTRANGE(""https://docs.google.com/spreadsheets/d/1QqKyyYR6Q21VydFLVH3TRQUabQu_ym0Zz7PgGX0-kHA/edit?usp=sharing"",""แผน!T61"")"),1)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IFERROR(__xludf.DUMMYFUNCTION("IMPORTRANGE(""https://docs.google.com/spreadsheets/d/1MeEWN-I1oV_STSDYn1IFDPWt_1FKiwhDph83XaGc0o0/edit?usp=sharing"",""งบพรบ!BA61"")"),0)</f>
        <v>0</v>
      </c>
      <c r="M124" s="45">
        <f ca="1">IFERROR(__xludf.DUMMYFUNCTION("IMPORTRANGE(""https://docs.google.com/spreadsheets/d/1MeEWN-I1oV_STSDYn1IFDPWt_1FKiwhDph83XaGc0o0/edit?usp=sharing"",""งบพรบ!BF61"")"),0)</f>
        <v>0</v>
      </c>
      <c r="N124" s="45">
        <f ca="1">IFERROR(__xludf.DUMMYFUNCTION("IMPORTRANGE(""https://docs.google.com/spreadsheets/d/1MeEWN-I1oV_STSDYn1IFDPWt_1FKiwhDph83XaGc0o0/edit?usp=sharing"",""งบพรบ!BH61"")"),0)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IFERROR(__xludf.DUMMYFUNCTION("IMPORTRANGE(""https://docs.google.com/spreadsheets/d/1MeEWN-I1oV_STSDYn1IFDPWt_1FKiwhDph83XaGc0o0/edit?usp=sharing"",""งบพรบ!BD61"")"),0)</f>
        <v>0</v>
      </c>
      <c r="M127" s="45">
        <f ca="1">IFERROR(__xludf.DUMMYFUNCTION("IMPORTRANGE(""https://docs.google.com/spreadsheets/d/1MeEWN-I1oV_STSDYn1IFDPWt_1FKiwhDph83XaGc0o0/edit?usp=sharing"",""งบพรบ!BG61"")"),0)</f>
        <v>0</v>
      </c>
      <c r="N127" s="45">
        <f ca="1">IFERROR(__xludf.DUMMYFUNCTION("IMPORTRANGE(""https://docs.google.com/spreadsheets/d/1MeEWN-I1oV_STSDYn1IFDPWt_1FKiwhDph83XaGc0o0/edit?usp=sharing"",""งบพรบ!BI61"")"),0)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IFERROR(__xludf.DUMMYFUNCTION("IMPORTRANGE(""https://docs.google.com/spreadsheets/d/1MeEWN-I1oV_STSDYn1IFDPWt_1FKiwhDph83XaGc0o0/edit?usp=sharing"",""งบพรบ!BK61"")"),0)</f>
        <v>0</v>
      </c>
      <c r="M137" s="45">
        <f ca="1">IFERROR(__xludf.DUMMYFUNCTION("IMPORTRANGE(""https://docs.google.com/spreadsheets/d/1MeEWN-I1oV_STSDYn1IFDPWt_1FKiwhDph83XaGc0o0/edit?usp=sharing"",""งบพรบ!BP61"")"),0)</f>
        <v>0</v>
      </c>
      <c r="N137" s="45">
        <f ca="1">IFERROR(__xludf.DUMMYFUNCTION("IMPORTRANGE(""https://docs.google.com/spreadsheets/d/1MeEWN-I1oV_STSDYn1IFDPWt_1FKiwhDph83XaGc0o0/edit?usp=sharing"",""งบพรบ!BR61"")"),0)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IFERROR(__xludf.DUMMYFUNCTION("IMPORTRANGE(""https://docs.google.com/spreadsheets/d/1MeEWN-I1oV_STSDYn1IFDPWt_1FKiwhDph83XaGc0o0/edit?usp=sharing"",""งบพรบ!BN61"")"),0)</f>
        <v>0</v>
      </c>
      <c r="M140" s="45">
        <f ca="1">IFERROR(__xludf.DUMMYFUNCTION("IMPORTRANGE(""https://docs.google.com/spreadsheets/d/1MeEWN-I1oV_STSDYn1IFDPWt_1FKiwhDph83XaGc0o0/edit?usp=sharing"",""งบพรบ!BQ61"")"),0)</f>
        <v>0</v>
      </c>
      <c r="N140" s="45">
        <f ca="1">IFERROR(__xludf.DUMMYFUNCTION("IMPORTRANGE(""https://docs.google.com/spreadsheets/d/1MeEWN-I1oV_STSDYn1IFDPWt_1FKiwhDph83XaGc0o0/edit?usp=sharing"",""งบพรบ!BS61"")"),0)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IFERROR(__xludf.DUMMYFUNCTION("IMPORTRANGE(""https://docs.google.com/spreadsheets/d/1QqKyyYR6Q21VydFLVH3TRQUabQu_ym0Zz7PgGX0-kHA/edit?usp=sharing"",""แผน!U61"")"),0)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IFERROR(__xludf.DUMMYFUNCTION("IMPORTRANGE(""https://docs.google.com/spreadsheets/d/1QqKyyYR6Q21VydFLVH3TRQUabQu_ym0Zz7PgGX0-kHA/edit?usp=sharing"",""แผน!V61"")"),0)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IFERROR(__xludf.DUMMYFUNCTION("IMPORTRANGE(""https://docs.google.com/spreadsheets/d/1QqKyyYR6Q21VydFLVH3TRQUabQu_ym0Zz7PgGX0-kHA/edit?usp=sharing"",""แผน!W61"")"),0)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IFERROR(__xludf.DUMMYFUNCTION("IMPORTRANGE(""https://docs.google.com/spreadsheets/d/1MeEWN-I1oV_STSDYn1IFDPWt_1FKiwhDph83XaGc0o0/edit?usp=sharing"",""งบพรบ!BU61"")"),0)</f>
        <v>0</v>
      </c>
      <c r="M154" s="45">
        <f ca="1">IFERROR(__xludf.DUMMYFUNCTION("IMPORTRANGE(""https://docs.google.com/spreadsheets/d/1MeEWN-I1oV_STSDYn1IFDPWt_1FKiwhDph83XaGc0o0/edit?usp=sharing"",""งบพรบ!BZ61"")"),0)</f>
        <v>0</v>
      </c>
      <c r="N154" s="45">
        <f ca="1">IFERROR(__xludf.DUMMYFUNCTION("IMPORTRANGE(""https://docs.google.com/spreadsheets/d/1MeEWN-I1oV_STSDYn1IFDPWt_1FKiwhDph83XaGc0o0/edit?usp=sharing"",""งบพรบ!CB61"")"),0)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IFERROR(__xludf.DUMMYFUNCTION("IMPORTRANGE(""https://docs.google.com/spreadsheets/d/1MeEWN-I1oV_STSDYn1IFDPWt_1FKiwhDph83XaGc0o0/edit?usp=sharing"",""งบพรบ!BX61"")"),0)</f>
        <v>0</v>
      </c>
      <c r="M157" s="45">
        <f ca="1">IFERROR(__xludf.DUMMYFUNCTION("IMPORTRANGE(""https://docs.google.com/spreadsheets/d/1MeEWN-I1oV_STSDYn1IFDPWt_1FKiwhDph83XaGc0o0/edit?usp=sharing"",""งบพรบ!CA61"")"),0)</f>
        <v>0</v>
      </c>
      <c r="N157" s="45">
        <f ca="1">IFERROR(__xludf.DUMMYFUNCTION("IMPORTRANGE(""https://docs.google.com/spreadsheets/d/1MeEWN-I1oV_STSDYn1IFDPWt_1FKiwhDph83XaGc0o0/edit?usp=sharing"",""งบพรบ!CC61"")"),0)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30690</v>
      </c>
      <c r="N165" s="154">
        <f t="shared" ca="1" si="84"/>
        <v>30690</v>
      </c>
      <c r="O165" s="154">
        <f t="shared" ref="O165:O173" ca="1" si="85">IF(L165&gt;0,N165*100/L165,0)</f>
        <v>145.79572446555821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30690</v>
      </c>
      <c r="N167" s="45">
        <f t="shared" ca="1" si="87"/>
        <v>30690</v>
      </c>
      <c r="O167" s="45">
        <f t="shared" ca="1" si="85"/>
        <v>145.79572446555821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30690</v>
      </c>
      <c r="N168" s="38">
        <f t="shared" ca="1" si="88"/>
        <v>30690</v>
      </c>
      <c r="O168" s="38">
        <f t="shared" ca="1" si="85"/>
        <v>145.79572446555821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IFERROR(__xludf.DUMMYFUNCTION("IMPORTRANGE(""https://docs.google.com/spreadsheets/d/1MeEWN-I1oV_STSDYn1IFDPWt_1FKiwhDph83XaGc0o0/edit?usp=sharing"",""งบพรบ!CE61"")"),21050)</f>
        <v>21050</v>
      </c>
      <c r="M170" s="45">
        <f ca="1">IFERROR(__xludf.DUMMYFUNCTION("IMPORTRANGE(""https://docs.google.com/spreadsheets/d/1MeEWN-I1oV_STSDYn1IFDPWt_1FKiwhDph83XaGc0o0/edit?usp=sharing"",""งบพรบ!CJ61"")"),30690)</f>
        <v>30690</v>
      </c>
      <c r="N170" s="45">
        <f ca="1">IFERROR(__xludf.DUMMYFUNCTION("IMPORTRANGE(""https://docs.google.com/spreadsheets/d/1MeEWN-I1oV_STSDYn1IFDPWt_1FKiwhDph83XaGc0o0/edit?usp=sharing"",""งบพรบ!CL61"")"),30690)</f>
        <v>30690</v>
      </c>
      <c r="O170" s="45">
        <f t="shared" ca="1" si="85"/>
        <v>145.79572446555821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IFERROR(__xludf.DUMMYFUNCTION("IMPORTRANGE(""https://docs.google.com/spreadsheets/d/1MeEWN-I1oV_STSDYn1IFDPWt_1FKiwhDph83XaGc0o0/edit?usp=sharing"",""งบพรบ!CH61"")"),0)</f>
        <v>0</v>
      </c>
      <c r="M173" s="45">
        <f ca="1">IFERROR(__xludf.DUMMYFUNCTION("IMPORTRANGE(""https://docs.google.com/spreadsheets/d/1MeEWN-I1oV_STSDYn1IFDPWt_1FKiwhDph83XaGc0o0/edit?usp=sharing"",""งบพรบ!CK61"")"),0)</f>
        <v>0</v>
      </c>
      <c r="N173" s="45">
        <f ca="1">IFERROR(__xludf.DUMMYFUNCTION("IMPORTRANGE(""https://docs.google.com/spreadsheets/d/1MeEWN-I1oV_STSDYn1IFDPWt_1FKiwhDph83XaGc0o0/edit?usp=sharing"",""งบพรบ!CM61"")"),0)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IFERROR(__xludf.DUMMYFUNCTION("IMPORTRANGE(""https://docs.google.com/spreadsheets/d/1QqKyyYR6Q21VydFLVH3TRQUabQu_ym0Zz7PgGX0-kHA/edit?usp=sharing"",""แผน!Y61"")"),10)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30</v>
      </c>
      <c r="J180" s="242">
        <f t="shared" si="91"/>
        <v>30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919700</v>
      </c>
      <c r="M181" s="154">
        <f t="shared" ca="1" si="92"/>
        <v>946970</v>
      </c>
      <c r="N181" s="154">
        <f t="shared" ca="1" si="92"/>
        <v>765712.26</v>
      </c>
      <c r="O181" s="154">
        <f t="shared" ref="O181:O189" ca="1" si="93">IF(L181&gt;0,N181*100/L181,0)</f>
        <v>83.256742416005224</v>
      </c>
      <c r="P181" s="154">
        <f t="shared" ref="P181:P189" ca="1" si="94">IF(M181&gt;0,N181*100/M181,0)</f>
        <v>80.859188781059586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919700</v>
      </c>
      <c r="M183" s="45">
        <f t="shared" ca="1" si="95"/>
        <v>946970</v>
      </c>
      <c r="N183" s="45">
        <f t="shared" ca="1" si="95"/>
        <v>765712.26</v>
      </c>
      <c r="O183" s="45">
        <f t="shared" ca="1" si="93"/>
        <v>83.256742416005224</v>
      </c>
      <c r="P183" s="45">
        <f t="shared" ca="1" si="94"/>
        <v>80.859188781059586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919700</v>
      </c>
      <c r="M184" s="38">
        <f t="shared" ca="1" si="96"/>
        <v>946970</v>
      </c>
      <c r="N184" s="38">
        <f t="shared" ca="1" si="96"/>
        <v>765712.26</v>
      </c>
      <c r="O184" s="38">
        <f t="shared" ca="1" si="93"/>
        <v>83.256742416005224</v>
      </c>
      <c r="P184" s="38">
        <f t="shared" ca="1" si="94"/>
        <v>80.859188781059586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IFERROR(__xludf.DUMMYFUNCTION("IMPORTRANGE(""https://docs.google.com/spreadsheets/d/1MeEWN-I1oV_STSDYn1IFDPWt_1FKiwhDph83XaGc0o0/edit?usp=sharing"",""งบพรบ!CO61"")"),919700)</f>
        <v>919700</v>
      </c>
      <c r="M186" s="45">
        <f ca="1">IFERROR(__xludf.DUMMYFUNCTION("IMPORTRANGE(""https://docs.google.com/spreadsheets/d/1MeEWN-I1oV_STSDYn1IFDPWt_1FKiwhDph83XaGc0o0/edit?usp=sharing"",""งบพรบ!CT61"")"),946970)</f>
        <v>946970</v>
      </c>
      <c r="N186" s="45">
        <f ca="1">IFERROR(__xludf.DUMMYFUNCTION("IMPORTRANGE(""https://docs.google.com/spreadsheets/d/1MeEWN-I1oV_STSDYn1IFDPWt_1FKiwhDph83XaGc0o0/edit?usp=sharing"",""งบพรบ!CV61"")"),765712.26)</f>
        <v>765712.26</v>
      </c>
      <c r="O186" s="45">
        <f t="shared" ca="1" si="93"/>
        <v>83.256742416005224</v>
      </c>
      <c r="P186" s="45">
        <f t="shared" ca="1" si="94"/>
        <v>80.859188781059586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IFERROR(__xludf.DUMMYFUNCTION("IMPORTRANGE(""https://docs.google.com/spreadsheets/d/1MeEWN-I1oV_STSDYn1IFDPWt_1FKiwhDph83XaGc0o0/edit?usp=sharing"",""งบพรบ!CR61"")"),0)</f>
        <v>0</v>
      </c>
      <c r="M189" s="45">
        <f ca="1">IFERROR(__xludf.DUMMYFUNCTION("IMPORTRANGE(""https://docs.google.com/spreadsheets/d/1MeEWN-I1oV_STSDYn1IFDPWt_1FKiwhDph83XaGc0o0/edit?usp=sharing"",""งบพรบ!CU61"")"),0)</f>
        <v>0</v>
      </c>
      <c r="N189" s="45">
        <f ca="1">IFERROR(__xludf.DUMMYFUNCTION("IMPORTRANGE(""https://docs.google.com/spreadsheets/d/1MeEWN-I1oV_STSDYn1IFDPWt_1FKiwhDph83XaGc0o0/edit?usp=sharing"",""งบพรบ!CW61"")"),0)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IFERROR(__xludf.DUMMYFUNCTION("IMPORTRANGE(""https://docs.google.com/spreadsheets/d/1QqKyyYR6Q21VydFLVH3TRQUabQu_ym0Zz7PgGX0-kHA/edit?usp=sharing"",""แผน!Z61"")"),6000)</f>
        <v>6000</v>
      </c>
      <c r="M191" s="154"/>
      <c r="N191" s="264">
        <v>4460</v>
      </c>
      <c r="O191" s="154">
        <f ca="1">IF(L191&gt;0,N191*100/L191,0)</f>
        <v>74.333333333333329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IFERROR(__xludf.DUMMYFUNCTION("IMPORTRANGE(""https://docs.google.com/spreadsheets/d/1QqKyyYR6Q21VydFLVH3TRQUabQu_ym0Zz7PgGX0-kHA/edit?usp=sharing"",""แผน!AC61"")"),4)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12830</v>
      </c>
      <c r="O198" s="154">
        <f ca="1">IF(L198&gt;0,N198*100/L198,0)</f>
        <v>98.692307692307693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IFERROR(__xludf.DUMMYFUNCTION("IMPORTRANGE(""https://docs.google.com/spreadsheets/d/1QqKyyYR6Q21VydFLVH3TRQUabQu_ym0Zz7PgGX0-kHA/edit?usp=sharing"",""แผน!AE61"")"),1000)</f>
        <v>1000</v>
      </c>
      <c r="M199" s="38"/>
      <c r="N199" s="271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IFERROR(__xludf.DUMMYFUNCTION("IMPORTRANGE(""https://docs.google.com/spreadsheets/d/1QqKyyYR6Q21VydFLVH3TRQUabQu_ym0Zz7PgGX0-kHA/edit?usp=sharing"",""แผน!AF61"")"),8000)</f>
        <v>8000</v>
      </c>
      <c r="M200" s="38"/>
      <c r="N200" s="271">
        <v>8830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IFERROR(__xludf.DUMMYFUNCTION("IMPORTRANGE(""https://docs.google.com/spreadsheets/d/1QqKyyYR6Q21VydFLVH3TRQUabQu_ym0Zz7PgGX0-kHA/edit?usp=sharing"",""แผน!AG61"")"),4000)</f>
        <v>4000</v>
      </c>
      <c r="M201" s="38"/>
      <c r="N201" s="271">
        <v>4000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IFERROR(__xludf.DUMMYFUNCTION("IMPORTRANGE(""https://docs.google.com/spreadsheets/d/1QqKyyYR6Q21VydFLVH3TRQUabQu_ym0Zz7PgGX0-kHA/edit?usp=sharing"",""แผน!AH61"")"),0)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IFERROR(__xludf.DUMMYFUNCTION("IMPORTRANGE(""https://docs.google.com/spreadsheets/d/1QqKyyYR6Q21VydFLVH3TRQUabQu_ym0Zz7PgGX0-kHA/edit?usp=sharing"",""แผน!AI61"")"),1)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IFERROR(__xludf.DUMMYFUNCTION("IMPORTRANGE(""https://docs.google.com/spreadsheets/d/1QqKyyYR6Q21VydFLVH3TRQUabQu_ym0Zz7PgGX0-kHA/edit?usp=sharing"",""แผน!AK61"")"),0)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IFERROR(__xludf.DUMMYFUNCTION("IMPORTRANGE(""https://docs.google.com/spreadsheets/d/1QqKyyYR6Q21VydFLVH3TRQUabQu_ym0Zz7PgGX0-kHA/edit?usp=sharing"",""แผน!AL61"")"),0)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IFERROR(__xludf.DUMMYFUNCTION("IMPORTRANGE(""https://docs.google.com/spreadsheets/d/1QqKyyYR6Q21VydFLVH3TRQUabQu_ym0Zz7PgGX0-kHA/edit?usp=sharing"",""แผน!AM61"")"),0)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IFERROR(__xludf.DUMMYFUNCTION("IMPORTRANGE(""https://docs.google.com/spreadsheets/d/1QqKyyYR6Q21VydFLVH3TRQUabQu_ym0Zz7PgGX0-kHA/edit?usp=sharing"",""แผน!AN61"")"),0)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IFERROR(__xludf.DUMMYFUNCTION("IMPORTRANGE(""https://docs.google.com/spreadsheets/d/1QqKyyYR6Q21VydFLVH3TRQUabQu_ym0Zz7PgGX0-kHA/edit?usp=sharing"",""แผน!AN61"")"),0)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20000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IFERROR(__xludf.DUMMYFUNCTION("IMPORTRANGE(""https://docs.google.com/spreadsheets/d/1QqKyyYR6Q21VydFLVH3TRQUabQu_ym0Zz7PgGX0-kHA/edit?usp=sharing"",""แผน!AP61"")"),3000)</f>
        <v>3000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IFERROR(__xludf.DUMMYFUNCTION("IMPORTRANGE(""https://docs.google.com/spreadsheets/d/1QqKyyYR6Q21VydFLVH3TRQUabQu_ym0Zz7PgGX0-kHA/edit?usp=sharing"",""แผน!AQ61"")"),5000)</f>
        <v>5000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IFERROR(__xludf.DUMMYFUNCTION("IMPORTRANGE(""https://docs.google.com/spreadsheets/d/1QqKyyYR6Q21VydFLVH3TRQUabQu_ym0Zz7PgGX0-kHA/edit?usp=sharing"",""แผน!AR61"")"),0)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IFERROR(__xludf.DUMMYFUNCTION("IMPORTRANGE(""https://docs.google.com/spreadsheets/d/1QqKyyYR6Q21VydFLVH3TRQUabQu_ym0Zz7PgGX0-kHA/edit?usp=sharing"",""แผน!AT61"")"),20000)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IFERROR(__xludf.DUMMYFUNCTION("IMPORTRANGE(""https://docs.google.com/spreadsheets/d/1QqKyyYR6Q21VydFLVH3TRQUabQu_ym0Zz7PgGX0-kHA/edit?usp=sharing"",""แผน!AT61"")"),20000)</f>
        <v>20000</v>
      </c>
      <c r="J224" s="181">
        <v>20000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IFERROR(__xludf.DUMMYFUNCTION("IMPORTRANGE(""https://docs.google.com/spreadsheets/d/1QqKyyYR6Q21VydFLVH3TRQUabQu_ym0Zz7PgGX0-kHA/edit?usp=sharing"",""แผน!AS61"")"),0)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30</v>
      </c>
      <c r="J226" s="330">
        <f t="shared" si="105"/>
        <v>30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220900</v>
      </c>
      <c r="M227" s="341"/>
      <c r="N227" s="341">
        <f t="shared" ref="N227:N231" si="107">N238+N249</f>
        <v>190697.34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163000</v>
      </c>
      <c r="M228" s="45"/>
      <c r="N228" s="45">
        <f t="shared" si="107"/>
        <v>132797.34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32900</v>
      </c>
      <c r="M229" s="45"/>
      <c r="N229" s="45">
        <f t="shared" si="107"/>
        <v>32900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15000</v>
      </c>
      <c r="M230" s="45"/>
      <c r="N230" s="45">
        <f t="shared" si="107"/>
        <v>15000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30</v>
      </c>
      <c r="J233" s="44">
        <f t="shared" si="108"/>
        <v>30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30</v>
      </c>
      <c r="J235" s="44">
        <f t="shared" si="109"/>
        <v>30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342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30</v>
      </c>
      <c r="J237" s="260">
        <f t="shared" si="111"/>
        <v>30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220900</v>
      </c>
      <c r="M238" s="154"/>
      <c r="N238" s="154">
        <f>N239+N240+N241+N242</f>
        <v>190697.34</v>
      </c>
      <c r="O238" s="154">
        <f ca="1">IF(L238&gt;0,N238*100/L238,0)</f>
        <v>86.3274513354459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IFERROR(__xludf.DUMMYFUNCTION("IMPORTRANGE(""https://docs.google.com/spreadsheets/d/1QqKyyYR6Q21VydFLVH3TRQUabQu_ym0Zz7PgGX0-kHA/edit?usp=sharing"",""แผน!AV61"")"),163000)</f>
        <v>163000</v>
      </c>
      <c r="M239" s="270"/>
      <c r="N239" s="808">
        <v>132797.34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IFERROR(__xludf.DUMMYFUNCTION("IMPORTRANGE(""https://docs.google.com/spreadsheets/d/1QqKyyYR6Q21VydFLVH3TRQUabQu_ym0Zz7PgGX0-kHA/edit?usp=sharing"",""แผน!AW61"")"),32900)</f>
        <v>32900</v>
      </c>
      <c r="M240" s="270"/>
      <c r="N240" s="808">
        <v>32900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IFERROR(__xludf.DUMMYFUNCTION("IMPORTRANGE(""https://docs.google.com/spreadsheets/d/1QqKyyYR6Q21VydFLVH3TRQUabQu_ym0Zz7PgGX0-kHA/edit?usp=sharing"",""แผน!AX61"")"),15000)</f>
        <v>15000</v>
      </c>
      <c r="M241" s="270"/>
      <c r="N241" s="808">
        <v>15000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IFERROR(__xludf.DUMMYFUNCTION("IMPORTRANGE(""https://docs.google.com/spreadsheets/d/1QqKyyYR6Q21VydFLVH3TRQUabQu_ym0Zz7PgGX0-kHA/edit?usp=sharing"",""แผน!AY61"")"),10000)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IFERROR(__xludf.DUMMYFUNCTION("IMPORTRANGE(""https://docs.google.com/spreadsheets/d/1QqKyyYR6Q21VydFLVH3TRQUabQu_ym0Zz7PgGX0-kHA/edit?usp=sharing"",""แผน!BE61"")"),30)</f>
        <v>30</v>
      </c>
      <c r="J244" s="181">
        <v>30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30</v>
      </c>
      <c r="J246" s="181">
        <v>30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IFERROR(__xludf.DUMMYFUNCTION("IMPORTRANGE(""https://docs.google.com/spreadsheets/d/1QqKyyYR6Q21VydFLVH3TRQUabQu_ym0Zz7PgGX0-kHA/edit?usp=sharing"",""แผน!AZ61"")"),0)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IFERROR(__xludf.DUMMYFUNCTION("IMPORTRANGE(""https://docs.google.com/spreadsheets/d/1QqKyyYR6Q21VydFLVH3TRQUabQu_ym0Zz7PgGX0-kHA/edit?usp=sharing"",""แผน!BA61"")"),0)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IFERROR(__xludf.DUMMYFUNCTION("IMPORTRANGE(""https://docs.google.com/spreadsheets/d/1QqKyyYR6Q21VydFLVH3TRQUabQu_ym0Zz7PgGX0-kHA/edit?usp=sharing"",""แผน!BB61"")"),0)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IFERROR(__xludf.DUMMYFUNCTION("IMPORTRANGE(""https://docs.google.com/spreadsheets/d/1QqKyyYR6Q21VydFLVH3TRQUabQu_ym0Zz7PgGX0-kHA/edit?usp=sharing"",""แผน!BC61"")"),0)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IFERROR(__xludf.DUMMYFUNCTION("IMPORTRANGE(""https://docs.google.com/spreadsheets/d/1QqKyyYR6Q21VydFLVH3TRQUabQu_ym0Zz7PgGX0-kHA/edit?usp=sharing"",""แผน!BF61"")"),0)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22640</v>
      </c>
      <c r="O261" s="154">
        <f t="shared" ref="O261:O269" ca="1" si="117">IF(L261&gt;0,N261*100/L261,0)</f>
        <v>84.163568773234203</v>
      </c>
      <c r="P261" s="154">
        <f t="shared" ref="P261:P269" ca="1" si="118">IF(M261&gt;0,N261*100/M261,0)</f>
        <v>84.163568773234203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22640</v>
      </c>
      <c r="O263" s="45">
        <f t="shared" ca="1" si="117"/>
        <v>84.163568773234203</v>
      </c>
      <c r="P263" s="45">
        <f t="shared" ca="1" si="118"/>
        <v>84.163568773234203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22640</v>
      </c>
      <c r="O264" s="38">
        <f t="shared" ca="1" si="117"/>
        <v>84.163568773234203</v>
      </c>
      <c r="P264" s="38">
        <f t="shared" ca="1" si="118"/>
        <v>84.163568773234203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IFERROR(__xludf.DUMMYFUNCTION("IMPORTRANGE(""https://docs.google.com/spreadsheets/d/1MeEWN-I1oV_STSDYn1IFDPWt_1FKiwhDph83XaGc0o0/edit?usp=sharing"",""งบพรบ!CY61"")"),26900)</f>
        <v>26900</v>
      </c>
      <c r="M266" s="45">
        <f ca="1">IFERROR(__xludf.DUMMYFUNCTION("IMPORTRANGE(""https://docs.google.com/spreadsheets/d/1MeEWN-I1oV_STSDYn1IFDPWt_1FKiwhDph83XaGc0o0/edit?usp=sharing"",""งบพรบ!DD61"")"),26900)</f>
        <v>26900</v>
      </c>
      <c r="N266" s="45">
        <f ca="1">IFERROR(__xludf.DUMMYFUNCTION("IMPORTRANGE(""https://docs.google.com/spreadsheets/d/1MeEWN-I1oV_STSDYn1IFDPWt_1FKiwhDph83XaGc0o0/edit?usp=sharing"",""งบพรบ!DF61"")"),22640)</f>
        <v>22640</v>
      </c>
      <c r="O266" s="45">
        <f t="shared" ca="1" si="117"/>
        <v>84.163568773234203</v>
      </c>
      <c r="P266" s="45">
        <f t="shared" ca="1" si="118"/>
        <v>84.163568773234203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IFERROR(__xludf.DUMMYFUNCTION("IMPORTRANGE(""https://docs.google.com/spreadsheets/d/1MeEWN-I1oV_STSDYn1IFDPWt_1FKiwhDph83XaGc0o0/edit?usp=sharing"",""งบพรบ!DB61"")"),0)</f>
        <v>0</v>
      </c>
      <c r="M269" s="45">
        <f ca="1">IFERROR(__xludf.DUMMYFUNCTION("IMPORTRANGE(""https://docs.google.com/spreadsheets/d/1MeEWN-I1oV_STSDYn1IFDPWt_1FKiwhDph83XaGc0o0/edit?usp=sharing"",""งบพรบ!DE61"")"),0)</f>
        <v>0</v>
      </c>
      <c r="N269" s="45">
        <f ca="1">IFERROR(__xludf.DUMMYFUNCTION("IMPORTRANGE(""https://docs.google.com/spreadsheets/d/1MeEWN-I1oV_STSDYn1IFDPWt_1FKiwhDph83XaGc0o0/edit?usp=sharing"",""งบพรบ!DG61"")"),0)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IFERROR(__xludf.DUMMYFUNCTION("IMPORTRANGE(""https://docs.google.com/spreadsheets/d/1QqKyyYR6Q21VydFLVH3TRQUabQu_ym0Zz7PgGX0-kHA/edit?usp=sharing"",""แผน!EA61"")"),22)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IFERROR(__xludf.DUMMYFUNCTION("IMPORTRANGE(""https://docs.google.com/spreadsheets/d/1MeEWN-I1oV_STSDYn1IFDPWt_1FKiwhDph83XaGc0o0/edit?usp=sharing"",""งบพรบ!DI61"")"),0)</f>
        <v>0</v>
      </c>
      <c r="M282" s="45">
        <f ca="1">IFERROR(__xludf.DUMMYFUNCTION("IMPORTRANGE(""https://docs.google.com/spreadsheets/d/1MeEWN-I1oV_STSDYn1IFDPWt_1FKiwhDph83XaGc0o0/edit?usp=sharing"",""งบพรบ!DN61"")"),0)</f>
        <v>0</v>
      </c>
      <c r="N282" s="45">
        <f ca="1">IFERROR(__xludf.DUMMYFUNCTION("IMPORTRANGE(""https://docs.google.com/spreadsheets/d/1MeEWN-I1oV_STSDYn1IFDPWt_1FKiwhDph83XaGc0o0/edit?usp=sharing"",""งบพรบ!DP61"")"),0)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IFERROR(__xludf.DUMMYFUNCTION("IMPORTRANGE(""https://docs.google.com/spreadsheets/d/1MeEWN-I1oV_STSDYn1IFDPWt_1FKiwhDph83XaGc0o0/edit?usp=sharing"",""งบพรบ!DL61"")"),0)</f>
        <v>0</v>
      </c>
      <c r="M285" s="45">
        <f ca="1">IFERROR(__xludf.DUMMYFUNCTION("IMPORTRANGE(""https://docs.google.com/spreadsheets/d/1MeEWN-I1oV_STSDYn1IFDPWt_1FKiwhDph83XaGc0o0/edit?usp=sharing"",""งบพรบ!DO61"")"),0)</f>
        <v>0</v>
      </c>
      <c r="N285" s="45">
        <f ca="1">IFERROR(__xludf.DUMMYFUNCTION("IMPORTRANGE(""https://docs.google.com/spreadsheets/d/1MeEWN-I1oV_STSDYn1IFDPWt_1FKiwhDph83XaGc0o0/edit?usp=sharing"",""งบพรบ!DQ61"")"),0)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IFERROR(__xludf.DUMMYFUNCTION("IMPORTRANGE(""https://docs.google.com/spreadsheets/d/1QqKyyYR6Q21VydFLVH3TRQUabQu_ym0Zz7PgGX0-kHA/edit?usp=sharing"",""แผน!EC61"")"),0)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IFERROR(__xludf.DUMMYFUNCTION("IMPORTRANGE(""https://docs.google.com/spreadsheets/d/1QqKyyYR6Q21VydFLVH3TRQUabQu_ym0Zz7PgGX0-kHA/edit?usp=sharing"",""แผน!EB61"")"),0)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IFERROR(__xludf.DUMMYFUNCTION("IMPORTRANGE(""https://docs.google.com/spreadsheets/d/1QqKyyYR6Q21VydFLVH3TRQUabQu_ym0Zz7PgGX0-kHA/edit?usp=sharing"",""แผน!EB61"")"),0)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IFERROR(__xludf.DUMMYFUNCTION("IMPORTRANGE(""https://docs.google.com/spreadsheets/d/1QqKyyYR6Q21VydFLVH3TRQUabQu_ym0Zz7PgGX0-kHA/edit?usp=sharing"",""แผน!EB61"")"),0)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IFERROR(__xludf.DUMMYFUNCTION("IMPORTRANGE(""https://docs.google.com/spreadsheets/d/1QqKyyYR6Q21VydFLVH3TRQUabQu_ym0Zz7PgGX0-kHA/edit?usp=sharing"",""แผน!EB61"")"),0)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IFERROR(__xludf.DUMMYFUNCTION("IMPORTRANGE(""https://docs.google.com/spreadsheets/d/1QqKyyYR6Q21VydFLVH3TRQUabQu_ym0Zz7PgGX0-kHA/edit?usp=sharing"",""แผน!EB61"")"),0)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 hidden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IFERROR(__xludf.DUMMYFUNCTION("IMPORTRANGE(""https://docs.google.com/spreadsheets/d/1MeEWN-I1oV_STSDYn1IFDPWt_1FKiwhDph83XaGc0o0/edit?usp=sharing"",""งบพรบ!DS61"")"),0)</f>
        <v>0</v>
      </c>
      <c r="M303" s="45">
        <f ca="1">IFERROR(__xludf.DUMMYFUNCTION("IMPORTRANGE(""https://docs.google.com/spreadsheets/d/1MeEWN-I1oV_STSDYn1IFDPWt_1FKiwhDph83XaGc0o0/edit?usp=sharing"",""งบพรบ!DX61"")"),0)</f>
        <v>0</v>
      </c>
      <c r="N303" s="45">
        <f ca="1">IFERROR(__xludf.DUMMYFUNCTION("IMPORTRANGE(""https://docs.google.com/spreadsheets/d/1MeEWN-I1oV_STSDYn1IFDPWt_1FKiwhDph83XaGc0o0/edit?usp=sharing"",""งบพรบ!DZ61"")"),0)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IFERROR(__xludf.DUMMYFUNCTION("IMPORTRANGE(""https://docs.google.com/spreadsheets/d/1MeEWN-I1oV_STSDYn1IFDPWt_1FKiwhDph83XaGc0o0/edit?usp=sharing"",""งบพรบ!DV61"")"),0)</f>
        <v>0</v>
      </c>
      <c r="M306" s="45">
        <f ca="1">IFERROR(__xludf.DUMMYFUNCTION("IMPORTRANGE(""https://docs.google.com/spreadsheets/d/1MeEWN-I1oV_STSDYn1IFDPWt_1FKiwhDph83XaGc0o0/edit?usp=sharing"",""งบพรบ!DY61"")"),0)</f>
        <v>0</v>
      </c>
      <c r="N306" s="45">
        <f ca="1">IFERROR(__xludf.DUMMYFUNCTION("IMPORTRANGE(""https://docs.google.com/spreadsheets/d/1MeEWN-I1oV_STSDYn1IFDPWt_1FKiwhDph83XaGc0o0/edit?usp=sharing"",""งบพรบ!EA61"")"),0)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IFERROR(__xludf.DUMMYFUNCTION("IMPORTRANGE(""https://docs.google.com/spreadsheets/d/1QqKyyYR6Q21VydFLVH3TRQUabQu_ym0Zz7PgGX0-kHA/edit?usp=sharing"",""แผน!ED61"")"),0)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IFERROR(__xludf.DUMMYFUNCTION("IMPORTRANGE(""https://docs.google.com/spreadsheets/d/1QqKyyYR6Q21VydFLVH3TRQUabQu_ym0Zz7PgGX0-kHA/edit?usp=sharing"",""แผน!ED61"")"),0)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IFERROR(__xludf.DUMMYFUNCTION("IMPORTRANGE(""https://docs.google.com/spreadsheets/d/1QqKyyYR6Q21VydFLVH3TRQUabQu_ym0Zz7PgGX0-kHA/edit?usp=sharing"",""แผน!ED61"")"),0)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IFERROR(__xludf.DUMMYFUNCTION("IMPORTRANGE(""https://docs.google.com/spreadsheets/d/1QqKyyYR6Q21VydFLVH3TRQUabQu_ym0Zz7PgGX0-kHA/edit?usp=sharing"",""แผน!EE61"")"),0)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IFERROR(__xludf.DUMMYFUNCTION("IMPORTRANGE(""https://docs.google.com/spreadsheets/d/1MeEWN-I1oV_STSDYn1IFDPWt_1FKiwhDph83XaGc0o0/edit?usp=sharing"",""งบพรบ!EC61"")"),0)</f>
        <v>0</v>
      </c>
      <c r="M320" s="45">
        <f ca="1">IFERROR(__xludf.DUMMYFUNCTION("IMPORTRANGE(""https://docs.google.com/spreadsheets/d/1MeEWN-I1oV_STSDYn1IFDPWt_1FKiwhDph83XaGc0o0/edit?usp=sharing"",""งบพรบ!EH61"")"),0)</f>
        <v>0</v>
      </c>
      <c r="N320" s="45">
        <f ca="1">IFERROR(__xludf.DUMMYFUNCTION("IMPORTRANGE(""https://docs.google.com/spreadsheets/d/1MeEWN-I1oV_STSDYn1IFDPWt_1FKiwhDph83XaGc0o0/edit?usp=sharing"",""งบพรบ!EJ61"")"),0)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IFERROR(__xludf.DUMMYFUNCTION("IMPORTRANGE(""https://docs.google.com/spreadsheets/d/1MeEWN-I1oV_STSDYn1IFDPWt_1FKiwhDph83XaGc0o0/edit?usp=sharing"",""งบพรบ!EF61"")"),0)</f>
        <v>0</v>
      </c>
      <c r="M323" s="45">
        <f ca="1">IFERROR(__xludf.DUMMYFUNCTION("IMPORTRANGE(""https://docs.google.com/spreadsheets/d/1MeEWN-I1oV_STSDYn1IFDPWt_1FKiwhDph83XaGc0o0/edit?usp=sharing"",""งบพรบ!EI61"")"),0)</f>
        <v>0</v>
      </c>
      <c r="N323" s="45">
        <f ca="1">IFERROR(__xludf.DUMMYFUNCTION("IMPORTRANGE(""https://docs.google.com/spreadsheets/d/1MeEWN-I1oV_STSDYn1IFDPWt_1FKiwhDph83XaGc0o0/edit?usp=sharing"",""งบพรบ!EK61"")"),0)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IFERROR(__xludf.DUMMYFUNCTION("IMPORTRANGE(""https://docs.google.com/spreadsheets/d/1QqKyyYR6Q21VydFLVH3TRQUabQu_ym0Zz7PgGX0-kHA/edit?usp=sharing"",""แผน!EG61"")"),1400)</f>
        <v>1400</v>
      </c>
      <c r="J327" s="421">
        <f ca="1">J338+J341+J342+J343</f>
        <v>1335</v>
      </c>
      <c r="K327" s="422">
        <f ca="1">IF(I327&gt;0,J327*100/I327,0)</f>
        <v>95.357142857142861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337200</v>
      </c>
      <c r="M328" s="154">
        <f t="shared" ca="1" si="149"/>
        <v>339700</v>
      </c>
      <c r="N328" s="154">
        <f t="shared" ca="1" si="149"/>
        <v>266933.36</v>
      </c>
      <c r="O328" s="154">
        <f t="shared" ref="O328:O336" ca="1" si="150">IF(L328&gt;0,N328*100/L328,0)</f>
        <v>79.161731909845784</v>
      </c>
      <c r="P328" s="154">
        <f t="shared" ref="P328:P336" ca="1" si="151">IF(M328&gt;0,N328*100/M328,0)</f>
        <v>78.579146305563739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337200</v>
      </c>
      <c r="M330" s="45">
        <f t="shared" ca="1" si="152"/>
        <v>339700</v>
      </c>
      <c r="N330" s="45">
        <f t="shared" ca="1" si="152"/>
        <v>266933.36</v>
      </c>
      <c r="O330" s="45">
        <f t="shared" ca="1" si="150"/>
        <v>79.161731909845784</v>
      </c>
      <c r="P330" s="45">
        <f t="shared" ca="1" si="151"/>
        <v>78.579146305563739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337200</v>
      </c>
      <c r="M331" s="38">
        <f t="shared" ca="1" si="153"/>
        <v>339700</v>
      </c>
      <c r="N331" s="38">
        <f t="shared" ca="1" si="153"/>
        <v>266933.36</v>
      </c>
      <c r="O331" s="38">
        <f t="shared" ca="1" si="150"/>
        <v>79.161731909845784</v>
      </c>
      <c r="P331" s="38">
        <f t="shared" ca="1" si="151"/>
        <v>78.579146305563739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IFERROR(__xludf.DUMMYFUNCTION("IMPORTRANGE(""https://docs.google.com/spreadsheets/d/1MeEWN-I1oV_STSDYn1IFDPWt_1FKiwhDph83XaGc0o0/edit?usp=sharing"",""งบพรบ!EM61"")"),337200)</f>
        <v>337200</v>
      </c>
      <c r="M333" s="45">
        <f ca="1">IFERROR(__xludf.DUMMYFUNCTION("IMPORTRANGE(""https://docs.google.com/spreadsheets/d/1MeEWN-I1oV_STSDYn1IFDPWt_1FKiwhDph83XaGc0o0/edit?usp=sharing"",""งบพรบ!ER61"")"),339700)</f>
        <v>339700</v>
      </c>
      <c r="N333" s="45">
        <f ca="1">IFERROR(__xludf.DUMMYFUNCTION("IMPORTRANGE(""https://docs.google.com/spreadsheets/d/1MeEWN-I1oV_STSDYn1IFDPWt_1FKiwhDph83XaGc0o0/edit?usp=sharing"",""งบพรบ!ET61"")"),266933.36)</f>
        <v>266933.36</v>
      </c>
      <c r="O333" s="45">
        <f t="shared" ca="1" si="150"/>
        <v>79.161731909845784</v>
      </c>
      <c r="P333" s="45">
        <f t="shared" ca="1" si="151"/>
        <v>78.579146305563739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IFERROR(__xludf.DUMMYFUNCTION("IMPORTRANGE(""https://docs.google.com/spreadsheets/d/1MeEWN-I1oV_STSDYn1IFDPWt_1FKiwhDph83XaGc0o0/edit?usp=sharing"",""งบพรบ!EP61"")"),0)</f>
        <v>0</v>
      </c>
      <c r="M336" s="45">
        <f ca="1">IFERROR(__xludf.DUMMYFUNCTION("IMPORTRANGE(""https://docs.google.com/spreadsheets/d/1MeEWN-I1oV_STSDYn1IFDPWt_1FKiwhDph83XaGc0o0/edit?usp=sharing"",""งบพรบ!ES61"")"),0)</f>
        <v>0</v>
      </c>
      <c r="N336" s="45">
        <f ca="1">IFERROR(__xludf.DUMMYFUNCTION("IMPORTRANGE(""https://docs.google.com/spreadsheets/d/1MeEWN-I1oV_STSDYn1IFDPWt_1FKiwhDph83XaGc0o0/edit?usp=sharing"",""งบพรบ!EU61"")"),0)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IFERROR(__xludf.DUMMYFUNCTION("IMPORTRANGE(""https://docs.google.com/spreadsheets/d/1QqKyyYR6Q21VydFLVH3TRQUabQu_ym0Zz7PgGX0-kHA/edit?usp=sharing"",""แผน!EG61"")"),1400)</f>
        <v>1400</v>
      </c>
      <c r="J338" s="37">
        <f ca="1">IFERROR(__xludf.DUMMYFUNCTION("IMPORTRANGE(""https://docs.google.com/spreadsheets/d/1kVcqe37tkHyjCSG3S0O1AXqVkqjo8mSIZil3BcpIysc/edit?usp=sharing"",""ศูนย์!D61"")"),585)</f>
        <v>585</v>
      </c>
      <c r="K338" s="38">
        <f ca="1">IF(I338&gt;0,J338*100/I338,0)</f>
        <v>41.785714285714285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IFERROR(__xludf.DUMMYFUNCTION("IMPORTRANGE(""https://docs.google.com/spreadsheets/d/1QqKyyYR6Q21VydFLVH3TRQUabQu_ym0Zz7PgGX0-kHA/edit?usp=sharing"",""แผน!EH61"")"),2)</f>
        <v>2</v>
      </c>
      <c r="J340" s="37">
        <f ca="1">IFERROR(__xludf.DUMMYFUNCTION("IMPORTRANGE(""https://docs.google.com/spreadsheets/d/1kVcqe37tkHyjCSG3S0O1AXqVkqjo8mSIZil3BcpIysc/edit?usp=sharing"",""ศูนย์!E61"")"),10)</f>
        <v>10</v>
      </c>
      <c r="K340" s="38">
        <f ca="1">IF(I340&gt;0,J340*100/I340,0)</f>
        <v>500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IFERROR(__xludf.DUMMYFUNCTION("IMPORTRANGE(""https://docs.google.com/spreadsheets/d/1kVcqe37tkHyjCSG3S0O1AXqVkqjo8mSIZil3BcpIysc/edit?usp=sharing"",""ศูนย์!F61"")"),750)</f>
        <v>750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IFERROR(__xludf.DUMMYFUNCTION("IMPORTRANGE(""https://docs.google.com/spreadsheets/d/1kVcqe37tkHyjCSG3S0O1AXqVkqjo8mSIZil3BcpIysc/edit?usp=sharing"",""ศูนย์!G61"")"),0)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IFERROR(__xludf.DUMMYFUNCTION("IMPORTRANGE(""https://docs.google.com/spreadsheets/d/1kVcqe37tkHyjCSG3S0O1AXqVkqjo8mSIZil3BcpIysc/edit?usp=sharing"",""ศูนย์!H61"")"),0)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306980</v>
      </c>
      <c r="M345" s="154">
        <f t="shared" ca="1" si="155"/>
        <v>347700</v>
      </c>
      <c r="N345" s="154">
        <f t="shared" ca="1" si="155"/>
        <v>241670</v>
      </c>
      <c r="O345" s="154">
        <f t="shared" ref="O345:O353" ca="1" si="156">IF(L345&gt;0,N345*100/L345,0)</f>
        <v>78.72499837122939</v>
      </c>
      <c r="P345" s="154">
        <f t="shared" ref="P345:P353" ca="1" si="157">IF(M345&gt;0,N345*100/M345,0)</f>
        <v>69.505320678746045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306980</v>
      </c>
      <c r="M347" s="45">
        <f t="shared" ca="1" si="158"/>
        <v>347700</v>
      </c>
      <c r="N347" s="45">
        <f t="shared" ca="1" si="158"/>
        <v>241670</v>
      </c>
      <c r="O347" s="45">
        <f t="shared" ca="1" si="156"/>
        <v>78.72499837122939</v>
      </c>
      <c r="P347" s="45">
        <f t="shared" ca="1" si="157"/>
        <v>69.505320678746045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193180</v>
      </c>
      <c r="M348" s="38">
        <f t="shared" ca="1" si="159"/>
        <v>233900</v>
      </c>
      <c r="N348" s="38">
        <f t="shared" ca="1" si="159"/>
        <v>127870</v>
      </c>
      <c r="O348" s="38">
        <f t="shared" ca="1" si="156"/>
        <v>66.192152396728446</v>
      </c>
      <c r="P348" s="38">
        <f t="shared" ca="1" si="157"/>
        <v>54.668661821291153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IFERROR(__xludf.DUMMYFUNCTION("IMPORTRANGE(""https://docs.google.com/spreadsheets/d/1MeEWN-I1oV_STSDYn1IFDPWt_1FKiwhDph83XaGc0o0/edit?usp=sharing"",""งบพรบ!EW61"")"),193180)</f>
        <v>193180</v>
      </c>
      <c r="M350" s="45">
        <f ca="1">IFERROR(__xludf.DUMMYFUNCTION("IMPORTRANGE(""https://docs.google.com/spreadsheets/d/1MeEWN-I1oV_STSDYn1IFDPWt_1FKiwhDph83XaGc0o0/edit?usp=sharing"",""งบพรบ!FB61"")"),233900)</f>
        <v>233900</v>
      </c>
      <c r="N350" s="45">
        <f ca="1">IFERROR(__xludf.DUMMYFUNCTION("IMPORTRANGE(""https://docs.google.com/spreadsheets/d/1MeEWN-I1oV_STSDYn1IFDPWt_1FKiwhDph83XaGc0o0/edit?usp=sharing"",""งบพรบ!FD61"")"),127870)</f>
        <v>127870</v>
      </c>
      <c r="O350" s="45">
        <f t="shared" ca="1" si="156"/>
        <v>66.192152396728446</v>
      </c>
      <c r="P350" s="45">
        <f t="shared" ca="1" si="157"/>
        <v>54.668661821291153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113800</v>
      </c>
      <c r="M351" s="38">
        <f t="shared" ca="1" si="160"/>
        <v>113800</v>
      </c>
      <c r="N351" s="38">
        <f t="shared" ca="1" si="160"/>
        <v>113800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IFERROR(__xludf.DUMMYFUNCTION("IMPORTRANGE(""https://docs.google.com/spreadsheets/d/1MeEWN-I1oV_STSDYn1IFDPWt_1FKiwhDph83XaGc0o0/edit?usp=sharing"",""งบพรบ!EZ61"")"),113800)</f>
        <v>113800</v>
      </c>
      <c r="M353" s="45">
        <f ca="1">IFERROR(__xludf.DUMMYFUNCTION("IMPORTRANGE(""https://docs.google.com/spreadsheets/d/1MeEWN-I1oV_STSDYn1IFDPWt_1FKiwhDph83XaGc0o0/edit?usp=sharing"",""งบพรบ!FC61"")"),113800)</f>
        <v>113800</v>
      </c>
      <c r="N353" s="45">
        <f ca="1">IFERROR(__xludf.DUMMYFUNCTION("IMPORTRANGE(""https://docs.google.com/spreadsheets/d/1MeEWN-I1oV_STSDYn1IFDPWt_1FKiwhDph83XaGc0o0/edit?usp=sharing"",""งบพรบ!FE61"")"),113800)</f>
        <v>113800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 hidden="1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 hidden="1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IFERROR(__xludf.DUMMYFUNCTION("IMPORTRANGE(""https://docs.google.com/spreadsheets/d/1QqKyyYR6Q21VydFLVH3TRQUabQu_ym0Zz7PgGX0-kHA/edit?usp=sharing"",""แผน!EP61"")"),0)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 hidden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 hidden="1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 hidden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IFERROR(__xludf.DUMMYFUNCTION("IMPORTRANGE(""https://docs.google.com/spreadsheets/d/1XWAQStnk-4SwqDmLtmXYiTMKHgktTP8We1SCoS47DrQ/edit?usp=sharing"",""จัดที่ดิน!W61"")"),0)</f>
        <v>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 hidden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IFERROR(__xludf.DUMMYFUNCTION("IMPORTRANGE(""https://docs.google.com/spreadsheets/d/1QqKyyYR6Q21VydFLVH3TRQUabQu_ym0Zz7PgGX0-kHA/edit?usp=sharing"",""แผน!EO61"")"),0)</f>
        <v>0</v>
      </c>
      <c r="J359" s="37">
        <f ca="1">IFERROR(__xludf.DUMMYFUNCTION("IMPORTRANGE(""https://docs.google.com/spreadsheets/d/1XWAQStnk-4SwqDmLtmXYiTMKHgktTP8We1SCoS47DrQ/edit?usp=sharing"",""จัดที่ดิน!X61"")"),0)</f>
        <v>0</v>
      </c>
      <c r="K359" s="38">
        <f t="shared" ca="1" si="161"/>
        <v>0</v>
      </c>
      <c r="L359" s="162"/>
      <c r="M359" s="162"/>
      <c r="N359" s="162"/>
      <c r="O359" s="162"/>
      <c r="P359" s="162"/>
    </row>
    <row r="360" spans="1:26" ht="19" hidden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IFERROR(__xludf.DUMMYFUNCTION("IMPORTRANGE(""https://docs.google.com/spreadsheets/d/1QqKyyYR6Q21VydFLVH3TRQUabQu_ym0Zz7PgGX0-kHA/edit?usp=sharing"",""แผน!EP61"")"),0)</f>
        <v>0</v>
      </c>
      <c r="J360" s="37">
        <f ca="1">IFERROR(__xludf.DUMMYFUNCTION("IMPORTRANGE(""https://docs.google.com/spreadsheets/d/1XWAQStnk-4SwqDmLtmXYiTMKHgktTP8We1SCoS47DrQ/edit?usp=sharing"",""จัดที่ดิน!Y61"")"),0)</f>
        <v>0</v>
      </c>
      <c r="K360" s="38">
        <f t="shared" ca="1" si="161"/>
        <v>0</v>
      </c>
      <c r="L360" s="162"/>
      <c r="M360" s="162"/>
      <c r="N360" s="162"/>
      <c r="O360" s="162"/>
      <c r="P360" s="162"/>
    </row>
    <row r="361" spans="1:26" ht="19" hidden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IFERROR(__xludf.DUMMYFUNCTION("IMPORTRANGE(""https://docs.google.com/spreadsheets/d/1XWAQStnk-4SwqDmLtmXYiTMKHgktTP8We1SCoS47DrQ/edit?usp=sharing"",""จัดที่ดิน!Z61"")"),0)</f>
        <v>0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 hidden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IFERROR(__xludf.DUMMYFUNCTION("IMPORTRANGE(""https://docs.google.com/spreadsheets/d/1QqKyyYR6Q21VydFLVH3TRQUabQu_ym0Zz7PgGX0-kHA/edit?usp=sharing"",""แผน!EP61"")"),0)</f>
        <v>0</v>
      </c>
      <c r="J362" s="37">
        <f ca="1">IFERROR(__xludf.DUMMYFUNCTION("IMPORTRANGE(""https://docs.google.com/spreadsheets/d/1XWAQStnk-4SwqDmLtmXYiTMKHgktTP8We1SCoS47DrQ/edit?usp=sharing"",""จัดที่ดิน!AA61"")"),0)</f>
        <v>0</v>
      </c>
      <c r="K362" s="38">
        <f t="shared" ca="1" si="161"/>
        <v>0</v>
      </c>
      <c r="L362" s="162"/>
      <c r="M362" s="162"/>
      <c r="N362" s="162"/>
      <c r="O362" s="162"/>
      <c r="P362" s="162"/>
    </row>
    <row r="363" spans="1:26" ht="19" hidden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IFERROR(__xludf.DUMMYFUNCTION("IMPORTRANGE(""https://docs.google.com/spreadsheets/d/1XWAQStnk-4SwqDmLtmXYiTMKHgktTP8We1SCoS47DrQ/edit?usp=sharing"",""จัดที่ดิน!AB61"")"),0)</f>
        <v>0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 hidden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0</v>
      </c>
      <c r="J364" s="452">
        <f t="shared" ca="1" si="162"/>
        <v>0</v>
      </c>
      <c r="K364" s="453">
        <f t="shared" ca="1" si="161"/>
        <v>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 hidden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IFERROR(__xludf.DUMMYFUNCTION("IMPORTRANGE(""https://docs.google.com/spreadsheets/d/1QqKyyYR6Q21VydFLVH3TRQUabQu_ym0Zz7PgGX0-kHA/edit?usp=sharing"",""แผน!EJ61"")"),0)</f>
        <v>0</v>
      </c>
      <c r="J365" s="462">
        <f ca="1">J372</f>
        <v>0</v>
      </c>
      <c r="K365" s="463">
        <f t="shared" ca="1" si="161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 hidden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 hidden="1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 hidden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IFERROR(__xludf.DUMMYFUNCTION("IMPORTRANGE(""https://docs.google.com/spreadsheets/d/1XWAQStnk-4SwqDmLtmXYiTMKHgktTP8We1SCoS47DrQ/edit?usp=sharing"",""จัดที่ดิน!E61"")"),0)</f>
        <v>0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 hidden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IFERROR(__xludf.DUMMYFUNCTION("IMPORTRANGE(""https://docs.google.com/spreadsheets/d/1QqKyyYR6Q21VydFLVH3TRQUabQu_ym0Zz7PgGX0-kHA/edit?usp=sharing"",""แผน!EI61"")"),0)</f>
        <v>0</v>
      </c>
      <c r="J369" s="37">
        <f ca="1">IFERROR(__xludf.DUMMYFUNCTION("IMPORTRANGE(""https://docs.google.com/spreadsheets/d/1XWAQStnk-4SwqDmLtmXYiTMKHgktTP8We1SCoS47DrQ/edit?usp=sharing"",""จัดที่ดิน!F61"")"),0)</f>
        <v>0</v>
      </c>
      <c r="K369" s="38">
        <f t="shared" ca="1" si="163"/>
        <v>0</v>
      </c>
      <c r="L369" s="162"/>
      <c r="M369" s="162"/>
      <c r="N369" s="162"/>
      <c r="O369" s="162"/>
      <c r="P369" s="162"/>
    </row>
    <row r="370" spans="1:26" ht="19" hidden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IFERROR(__xludf.DUMMYFUNCTION("IMPORTRANGE(""https://docs.google.com/spreadsheets/d/1QqKyyYR6Q21VydFLVH3TRQUabQu_ym0Zz7PgGX0-kHA/edit?usp=sharing"",""แผน!EJ61"")"),0)</f>
        <v>0</v>
      </c>
      <c r="J370" s="37">
        <f ca="1">IFERROR(__xludf.DUMMYFUNCTION("IMPORTRANGE(""https://docs.google.com/spreadsheets/d/1XWAQStnk-4SwqDmLtmXYiTMKHgktTP8We1SCoS47DrQ/edit?usp=sharing"",""จัดที่ดิน!G61"")"),0)</f>
        <v>0</v>
      </c>
      <c r="K370" s="38">
        <f t="shared" ca="1" si="163"/>
        <v>0</v>
      </c>
      <c r="L370" s="162"/>
      <c r="M370" s="162"/>
      <c r="N370" s="162"/>
      <c r="O370" s="162"/>
      <c r="P370" s="162"/>
    </row>
    <row r="371" spans="1:26" ht="19" hidden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IFERROR(__xludf.DUMMYFUNCTION("IMPORTRANGE(""https://docs.google.com/spreadsheets/d/1XWAQStnk-4SwqDmLtmXYiTMKHgktTP8We1SCoS47DrQ/edit?usp=sharing"",""จัดที่ดิน!H61"")"),0)</f>
        <v>0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 hidden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IFERROR(__xludf.DUMMYFUNCTION("IMPORTRANGE(""https://docs.google.com/spreadsheets/d/1QqKyyYR6Q21VydFLVH3TRQUabQu_ym0Zz7PgGX0-kHA/edit?usp=sharing"",""แผน!EJ61"")"),0)</f>
        <v>0</v>
      </c>
      <c r="J372" s="37">
        <f ca="1">IFERROR(__xludf.DUMMYFUNCTION("IMPORTRANGE(""https://docs.google.com/spreadsheets/d/1XWAQStnk-4SwqDmLtmXYiTMKHgktTP8We1SCoS47DrQ/edit?usp=sharing"",""จัดที่ดิน!I61"")"),0)</f>
        <v>0</v>
      </c>
      <c r="K372" s="38">
        <f t="shared" ca="1" si="163"/>
        <v>0</v>
      </c>
      <c r="L372" s="162"/>
      <c r="M372" s="162"/>
      <c r="N372" s="162"/>
      <c r="O372" s="162"/>
      <c r="P372" s="162"/>
    </row>
    <row r="373" spans="1:26" ht="19" hidden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IFERROR(__xludf.DUMMYFUNCTION("IMPORTRANGE(""https://docs.google.com/spreadsheets/d/1XWAQStnk-4SwqDmLtmXYiTMKHgktTP8We1SCoS47DrQ/edit?usp=sharing"",""จัดที่ดิน!J61"")"),0)</f>
        <v>0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 hidden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IFERROR(__xludf.DUMMYFUNCTION("IMPORTRANGE(""https://docs.google.com/spreadsheets/d/1QqKyyYR6Q21VydFLVH3TRQUabQu_ym0Zz7PgGX0-kHA/edit?usp=sharing"",""แผน!EU61"")"),0)</f>
        <v>0</v>
      </c>
      <c r="J374" s="462">
        <f ca="1">J381</f>
        <v>0</v>
      </c>
      <c r="K374" s="463">
        <f t="shared" ca="1" si="163"/>
        <v>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 hidden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 hidden="1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 hidden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IFERROR(__xludf.DUMMYFUNCTION("IMPORTRANGE(""https://docs.google.com/spreadsheets/d/1XWAQStnk-4SwqDmLtmXYiTMKHgktTP8We1SCoS47DrQ/edit?usp=sharing"",""จัดที่ดิน!AH61"")"),0)</f>
        <v>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 hidden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IFERROR(__xludf.DUMMYFUNCTION("IMPORTRANGE(""https://docs.google.com/spreadsheets/d/1QqKyyYR6Q21VydFLVH3TRQUabQu_ym0Zz7PgGX0-kHA/edit?usp=sharing"",""แผน!ET61"")"),0)</f>
        <v>0</v>
      </c>
      <c r="J378" s="37">
        <f ca="1">IFERROR(__xludf.DUMMYFUNCTION("IMPORTRANGE(""https://docs.google.com/spreadsheets/d/1XWAQStnk-4SwqDmLtmXYiTMKHgktTP8We1SCoS47DrQ/edit?usp=sharing"",""จัดที่ดิน!AI61"")"),0)</f>
        <v>0</v>
      </c>
      <c r="K378" s="38">
        <f t="shared" ca="1" si="164"/>
        <v>0</v>
      </c>
      <c r="L378" s="162"/>
      <c r="M378" s="162"/>
      <c r="N378" s="162"/>
      <c r="O378" s="162"/>
      <c r="P378" s="162"/>
    </row>
    <row r="379" spans="1:26" ht="19" hidden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IFERROR(__xludf.DUMMYFUNCTION("IMPORTRANGE(""https://docs.google.com/spreadsheets/d/1QqKyyYR6Q21VydFLVH3TRQUabQu_ym0Zz7PgGX0-kHA/edit?usp=sharing"",""แผน!EU61"")"),0)</f>
        <v>0</v>
      </c>
      <c r="J379" s="37">
        <f ca="1">IFERROR(__xludf.DUMMYFUNCTION("IMPORTRANGE(""https://docs.google.com/spreadsheets/d/1XWAQStnk-4SwqDmLtmXYiTMKHgktTP8We1SCoS47DrQ/edit?usp=sharing"",""จัดที่ดิน!AJ61"")"),0)</f>
        <v>0</v>
      </c>
      <c r="K379" s="38">
        <f t="shared" ca="1" si="164"/>
        <v>0</v>
      </c>
      <c r="L379" s="162"/>
      <c r="M379" s="162"/>
      <c r="N379" s="162"/>
      <c r="O379" s="162"/>
      <c r="P379" s="162"/>
    </row>
    <row r="380" spans="1:26" ht="19" hidden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IFERROR(__xludf.DUMMYFUNCTION("IMPORTRANGE(""https://docs.google.com/spreadsheets/d/1XWAQStnk-4SwqDmLtmXYiTMKHgktTP8We1SCoS47DrQ/edit?usp=sharing"",""จัดที่ดิน!AK61"")"),0)</f>
        <v>0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 hidden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IFERROR(__xludf.DUMMYFUNCTION("IMPORTRANGE(""https://docs.google.com/spreadsheets/d/1QqKyyYR6Q21VydFLVH3TRQUabQu_ym0Zz7PgGX0-kHA/edit?usp=sharing"",""แผน!EU61"")"),0)</f>
        <v>0</v>
      </c>
      <c r="J381" s="37">
        <f ca="1">IFERROR(__xludf.DUMMYFUNCTION("IMPORTRANGE(""https://docs.google.com/spreadsheets/d/1XWAQStnk-4SwqDmLtmXYiTMKHgktTP8We1SCoS47DrQ/edit?usp=sharing"",""จัดที่ดิน!AL61"")"),0)</f>
        <v>0</v>
      </c>
      <c r="K381" s="38">
        <f t="shared" ca="1" si="164"/>
        <v>0</v>
      </c>
      <c r="L381" s="162"/>
      <c r="M381" s="162"/>
      <c r="N381" s="162"/>
      <c r="O381" s="162"/>
      <c r="P381" s="162"/>
    </row>
    <row r="382" spans="1:26" ht="19" hidden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IFERROR(__xludf.DUMMYFUNCTION("IMPORTRANGE(""https://docs.google.com/spreadsheets/d/1XWAQStnk-4SwqDmLtmXYiTMKHgktTP8We1SCoS47DrQ/edit?usp=sharing"",""จัดที่ดิน!AM61"")"),0)</f>
        <v>0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 hidden="1">
      <c r="A383" s="245"/>
      <c r="B383" s="253"/>
      <c r="C383" s="246"/>
      <c r="D383" s="811" t="s">
        <v>346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 hidden="1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 hidden="1">
      <c r="A385" s="360"/>
      <c r="B385" s="363"/>
      <c r="C385" s="361"/>
      <c r="D385" s="363"/>
      <c r="E385" s="470" t="s">
        <v>163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IFERROR(__xludf.DUMMYFUNCTION("IMPORTRANGE(""https://docs.google.com/spreadsheets/d/1QqKyyYR6Q21VydFLVH3TRQUabQu_ym0Zz7PgGX0-kHA/edit?usp=sharing"",""แผน!EW61"")"),0)</f>
        <v>0</v>
      </c>
      <c r="J385" s="365">
        <f ca="1">IFERROR(__xludf.DUMMYFUNCTION("IMPORTRANGE(""https://docs.google.com/spreadsheets/d/1XWAQStnk-4SwqDmLtmXYiTMKHgktTP8We1SCoS47DrQ/edit?usp=sharing"",""จัดที่ดิน!AP61"")"),2)</f>
        <v>2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IFERROR(__xludf.DUMMYFUNCTION("IMPORTRANGE(""https://docs.google.com/spreadsheets/d/1MeEWN-I1oV_STSDYn1IFDPWt_1FKiwhDph83XaGc0o0/edit?usp=sharing"",""งบพรบ!FG61"")"),0)</f>
        <v>0</v>
      </c>
      <c r="M394" s="45">
        <f ca="1">IFERROR(__xludf.DUMMYFUNCTION("IMPORTRANGE(""https://docs.google.com/spreadsheets/d/1MeEWN-I1oV_STSDYn1IFDPWt_1FKiwhDph83XaGc0o0/edit?usp=sharing"",""งบพรบ!FL61"")"),0)</f>
        <v>0</v>
      </c>
      <c r="N394" s="45">
        <f ca="1">IFERROR(__xludf.DUMMYFUNCTION("IMPORTRANGE(""https://docs.google.com/spreadsheets/d/1MeEWN-I1oV_STSDYn1IFDPWt_1FKiwhDph83XaGc0o0/edit?usp=sharing"",""งบพรบ!FN61"")"),0)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IFERROR(__xludf.DUMMYFUNCTION("IMPORTRANGE(""https://docs.google.com/spreadsheets/d/1MeEWN-I1oV_STSDYn1IFDPWt_1FKiwhDph83XaGc0o0/edit?usp=sharing"",""งบพรบ!FJ61"")"),0)</f>
        <v>0</v>
      </c>
      <c r="M397" s="45">
        <f ca="1">IFERROR(__xludf.DUMMYFUNCTION("IMPORTRANGE(""https://docs.google.com/spreadsheets/d/1MeEWN-I1oV_STSDYn1IFDPWt_1FKiwhDph83XaGc0o0/edit?usp=sharing"",""งบพรบ!FM61"")"),0)</f>
        <v>0</v>
      </c>
      <c r="N397" s="45">
        <f ca="1">IFERROR(__xludf.DUMMYFUNCTION("IMPORTRANGE(""https://docs.google.com/spreadsheets/d/1MeEWN-I1oV_STSDYn1IFDPWt_1FKiwhDph83XaGc0o0/edit?usp=sharing"",""งบพรบ!FO61"")"),0)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IFERROR(__xludf.DUMMYFUNCTION("IMPORTRANGE(""https://docs.google.com/spreadsheets/d/1MeEWN-I1oV_STSDYn1IFDPWt_1FKiwhDph83XaGc0o0/edit?usp=sharing"",""งบพรบ!FQ61"")"),0)</f>
        <v>0</v>
      </c>
      <c r="M407" s="45">
        <f ca="1">IFERROR(__xludf.DUMMYFUNCTION("IMPORTRANGE(""https://docs.google.com/spreadsheets/d/1MeEWN-I1oV_STSDYn1IFDPWt_1FKiwhDph83XaGc0o0/edit?usp=sharing"",""งบพรบ!FV61"")"),0)</f>
        <v>0</v>
      </c>
      <c r="N407" s="45">
        <f ca="1">IFERROR(__xludf.DUMMYFUNCTION("IMPORTRANGE(""https://docs.google.com/spreadsheets/d/1MeEWN-I1oV_STSDYn1IFDPWt_1FKiwhDph83XaGc0o0/edit?usp=sharing"",""งบพรบ!FX61"")"),0)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IFERROR(__xludf.DUMMYFUNCTION("IMPORTRANGE(""https://docs.google.com/spreadsheets/d/1MeEWN-I1oV_STSDYn1IFDPWt_1FKiwhDph83XaGc0o0/edit?usp=sharing"",""งบพรบ!FT61"")"),0)</f>
        <v>0</v>
      </c>
      <c r="M410" s="45">
        <f ca="1">IFERROR(__xludf.DUMMYFUNCTION("IMPORTRANGE(""https://docs.google.com/spreadsheets/d/1MeEWN-I1oV_STSDYn1IFDPWt_1FKiwhDph83XaGc0o0/edit?usp=sharing"",""งบพรบ!FW61"")"),0)</f>
        <v>0</v>
      </c>
      <c r="N410" s="45">
        <f ca="1">IFERROR(__xludf.DUMMYFUNCTION("IMPORTRANGE(""https://docs.google.com/spreadsheets/d/1MeEWN-I1oV_STSDYn1IFDPWt_1FKiwhDph83XaGc0o0/edit?usp=sharing"",""งบพรบ!FY61"")"),0)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289870</v>
      </c>
      <c r="M414" s="518">
        <f t="shared" ca="1" si="181"/>
        <v>289870</v>
      </c>
      <c r="N414" s="518">
        <f t="shared" si="181"/>
        <v>158365</v>
      </c>
      <c r="O414" s="518">
        <f ca="1">IF(L414&gt;0,N414*100/L414,0)</f>
        <v>54.633111394763169</v>
      </c>
      <c r="P414" s="518">
        <f ca="1">IF(M414&gt;0,N414*100/M414,0)</f>
        <v>54.633111394763169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15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49195</v>
      </c>
      <c r="O419" s="154">
        <f t="shared" ref="O419:O424" ca="1" si="185">IF(L419&gt;0,N419*100/L419,0)</f>
        <v>73.910757211538467</v>
      </c>
      <c r="P419" s="154">
        <f t="shared" ref="P419:P424" ca="1" si="186">IF(M419&gt;0,N419*100/M419,0)</f>
        <v>73.910757211538467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49195</v>
      </c>
      <c r="O421" s="45">
        <f t="shared" ca="1" si="185"/>
        <v>73.910757211538467</v>
      </c>
      <c r="P421" s="45">
        <f t="shared" ca="1" si="186"/>
        <v>73.910757211538467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49195</v>
      </c>
      <c r="O422" s="38">
        <f t="shared" ca="1" si="185"/>
        <v>73.910757211538467</v>
      </c>
      <c r="P422" s="38">
        <f t="shared" ca="1" si="186"/>
        <v>73.910757211538467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IFERROR(__xludf.DUMMYFUNCTION("IMPORTRANGE(""https://docs.google.com/spreadsheets/d/1QqKyyYR6Q21VydFLVH3TRQUabQu_ym0Zz7PgGX0-kHA/edit?usp=sharing"",""แผน!EY61"")"),66560)</f>
        <v>66560</v>
      </c>
      <c r="M424" s="45">
        <f ca="1">L424</f>
        <v>66560</v>
      </c>
      <c r="N424" s="45">
        <f>N425+N426+N427+N428</f>
        <v>49195</v>
      </c>
      <c r="O424" s="45">
        <f t="shared" ca="1" si="185"/>
        <v>73.910757211538467</v>
      </c>
      <c r="P424" s="45">
        <f t="shared" ca="1" si="186"/>
        <v>73.910757211538467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36300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12895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IFERROR(__xludf.DUMMYFUNCTION("IMPORTRANGE(""https://docs.google.com/spreadsheets/d/1QqKyyYR6Q21VydFLVH3TRQUabQu_ym0Zz7PgGX0-kHA/edit?usp=sharing"",""แผน!FB61"")"),0)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IFERROR(__xludf.DUMMYFUNCTION("IMPORTRANGE(""https://docs.google.com/spreadsheets/d/1QqKyyYR6Q21VydFLVH3TRQUabQu_ym0Zz7PgGX0-kHA/edit?usp=sharing"",""แผน!FC61"")"),15)</f>
        <v>15</v>
      </c>
      <c r="J435" s="546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IFERROR(__xludf.DUMMYFUNCTION("IMPORTRANGE(""https://docs.google.com/spreadsheets/d/1QqKyyYR6Q21VydFLVH3TRQUabQu_ym0Zz7PgGX0-kHA/edit?usp=sharing"",""แผน!FD61"")"),0)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IFERROR(__xludf.DUMMYFUNCTION("IMPORTRANGE(""https://docs.google.com/spreadsheets/d/1QqKyyYR6Q21VydFLVH3TRQUabQu_ym0Zz7PgGX0-kHA/edit?usp=sharing"",""แผน!FE61"")"),0)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IFERROR(__xludf.DUMMYFUNCTION("IMPORTRANGE(""https://docs.google.com/spreadsheets/d/1QqKyyYR6Q21VydFLVH3TRQUabQu_ym0Zz7PgGX0-kHA/edit?usp=sharing"",""แผน!FF61"")"),15)</f>
        <v>15</v>
      </c>
      <c r="J439" s="54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IFERROR(__xludf.DUMMYFUNCTION("IMPORTRANGE(""https://docs.google.com/spreadsheets/d/1QqKyyYR6Q21VydFLVH3TRQUabQu_ym0Zz7PgGX0-kHA/edit?usp=sharing"",""แผน!FG61"")"),1)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IFERROR(__xludf.DUMMYFUNCTION("IMPORTRANGE(""https://docs.google.com/spreadsheets/d/1QqKyyYR6Q21VydFLVH3TRQUabQu_ym0Zz7PgGX0-kHA/edit?usp=sharing"",""แผน!FH61"")"),0)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10</v>
      </c>
      <c r="J442" s="552">
        <f t="shared" si="195"/>
        <v>10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20</v>
      </c>
      <c r="J443" s="533">
        <f t="shared" si="196"/>
        <v>20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70660</v>
      </c>
      <c r="M444" s="191">
        <f t="shared" ca="1" si="197"/>
        <v>70660</v>
      </c>
      <c r="N444" s="191">
        <f t="shared" si="197"/>
        <v>55280</v>
      </c>
      <c r="O444" s="191">
        <f t="shared" ref="O444:O449" ca="1" si="198">IF(L444&gt;0,N444*100/L444,0)</f>
        <v>78.233795641098212</v>
      </c>
      <c r="P444" s="191">
        <f t="shared" ref="P444:P449" ca="1" si="199">IF(M444&gt;0,N444*100/M444,0)</f>
        <v>78.233795641098212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70660</v>
      </c>
      <c r="M446" s="45">
        <f t="shared" ca="1" si="200"/>
        <v>70660</v>
      </c>
      <c r="N446" s="45">
        <f t="shared" si="200"/>
        <v>55280</v>
      </c>
      <c r="O446" s="45">
        <f t="shared" ca="1" si="198"/>
        <v>78.233795641098212</v>
      </c>
      <c r="P446" s="45">
        <f t="shared" ca="1" si="199"/>
        <v>78.233795641098212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70660</v>
      </c>
      <c r="M447" s="38">
        <f t="shared" ca="1" si="201"/>
        <v>70660</v>
      </c>
      <c r="N447" s="38">
        <f t="shared" si="201"/>
        <v>55280</v>
      </c>
      <c r="O447" s="38">
        <f t="shared" ca="1" si="198"/>
        <v>78.233795641098212</v>
      </c>
      <c r="P447" s="38">
        <f t="shared" ca="1" si="199"/>
        <v>78.233795641098212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IFERROR(__xludf.DUMMYFUNCTION("IMPORTRANGE(""https://docs.google.com/spreadsheets/d/1QqKyyYR6Q21VydFLVH3TRQUabQu_ym0Zz7PgGX0-kHA/edit?usp=sharing"",""แผน!FJ61"")"),70660)</f>
        <v>70660</v>
      </c>
      <c r="M449" s="45">
        <f ca="1">L449</f>
        <v>70660</v>
      </c>
      <c r="N449" s="45">
        <f>N450+N451+N452+N453</f>
        <v>55280</v>
      </c>
      <c r="O449" s="45">
        <f t="shared" ca="1" si="198"/>
        <v>78.233795641098212</v>
      </c>
      <c r="P449" s="45">
        <f t="shared" ca="1" si="199"/>
        <v>78.233795641098212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21540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28400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5340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IFERROR(__xludf.DUMMYFUNCTION("IMPORTRANGE(""https://docs.google.com/spreadsheets/d/1QqKyyYR6Q21VydFLVH3TRQUabQu_ym0Zz7PgGX0-kHA/edit?usp=sharing"",""แผน!FM61"")"),0)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IFERROR(__xludf.DUMMYFUNCTION("IMPORTRANGE(""https://docs.google.com/spreadsheets/d/1QqKyyYR6Q21VydFLVH3TRQUabQu_ym0Zz7PgGX0-kHA/edit?usp=sharing"",""แผน!FN61"")"),10)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IFERROR(__xludf.DUMMYFUNCTION("IMPORTRANGE(""https://docs.google.com/spreadsheets/d/1QqKyyYR6Q21VydFLVH3TRQUabQu_ym0Zz7PgGX0-kHA/edit?usp=sharing"",""แผน!FO61"")"),20)</f>
        <v>20</v>
      </c>
      <c r="J462" s="181">
        <v>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IFERROR(__xludf.DUMMYFUNCTION("IMPORTRANGE(""https://docs.google.com/spreadsheets/d/1QqKyyYR6Q21VydFLVH3TRQUabQu_ym0Zz7PgGX0-kHA/edit?usp=sharing"",""แผน!FO61"")"),20)</f>
        <v>20</v>
      </c>
      <c r="J463" s="181">
        <v>20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IFERROR(__xludf.DUMMYFUNCTION("IMPORTRANGE(""https://docs.google.com/spreadsheets/d/1QqKyyYR6Q21VydFLVH3TRQUabQu_ym0Zz7PgGX0-kHA/edit?usp=sharing"",""แผน!FN61"")"),10)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IFERROR(__xludf.DUMMYFUNCTION("IMPORTRANGE(""https://docs.google.com/spreadsheets/d/1QqKyyYR6Q21VydFLVH3TRQUabQu_ym0Zz7PgGX0-kHA/edit?usp=sharing"",""แผน!FX61"")"),0)</f>
        <v>0</v>
      </c>
      <c r="J465" s="552">
        <f>J485+J489+J492</f>
        <v>0</v>
      </c>
      <c r="K465" s="553">
        <f t="shared" ref="K465:K466" ca="1" si="205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IFERROR(__xludf.DUMMYFUNCTION("IMPORTRANGE(""https://docs.google.com/spreadsheets/d/1QqKyyYR6Q21VydFLVH3TRQUabQu_ym0Zz7PgGX0-kHA/edit?usp=sharing"",""แผน!FW61"")"),0)</f>
        <v>0</v>
      </c>
      <c r="J466" s="533">
        <f>J483+J487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0</v>
      </c>
      <c r="M467" s="191">
        <f t="shared" si="206"/>
        <v>0</v>
      </c>
      <c r="N467" s="191">
        <f t="shared" si="206"/>
        <v>0</v>
      </c>
      <c r="O467" s="191">
        <f t="shared" ref="O467:O472" ca="1" si="207">IF(L467&gt;0,N467*100/L467,0)</f>
        <v>0</v>
      </c>
      <c r="P467" s="191">
        <f t="shared" ref="P467:P472" si="208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0</v>
      </c>
      <c r="M469" s="45">
        <f t="shared" si="209"/>
        <v>0</v>
      </c>
      <c r="N469" s="45">
        <f t="shared" si="209"/>
        <v>0</v>
      </c>
      <c r="O469" s="45">
        <f t="shared" ca="1" si="207"/>
        <v>0</v>
      </c>
      <c r="P469" s="45">
        <f t="shared" si="208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0</v>
      </c>
      <c r="M470" s="38">
        <f t="shared" si="210"/>
        <v>0</v>
      </c>
      <c r="N470" s="38">
        <f t="shared" si="210"/>
        <v>0</v>
      </c>
      <c r="O470" s="38">
        <f t="shared" ca="1" si="207"/>
        <v>0</v>
      </c>
      <c r="P470" s="38">
        <f t="shared" si="208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IFERROR(__xludf.DUMMYFUNCTION("IMPORTRANGE(""https://docs.google.com/spreadsheets/d/1QqKyyYR6Q21VydFLVH3TRQUabQu_ym0Zz7PgGX0-kHA/edit?usp=sharing"",""แผน!FS61"")"),0)</f>
        <v>0</v>
      </c>
      <c r="M472" s="45">
        <v>0</v>
      </c>
      <c r="N472" s="45">
        <f>N473+N474+N475+N476</f>
        <v>0</v>
      </c>
      <c r="O472" s="45">
        <f t="shared" ca="1" si="207"/>
        <v>0</v>
      </c>
      <c r="P472" s="45">
        <f t="shared" si="208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IFERROR(__xludf.DUMMYFUNCTION("IMPORTRANGE(""https://docs.google.com/spreadsheets/d/1QqKyyYR6Q21VydFLVH3TRQUabQu_ym0Zz7PgGX0-kHA/edit?usp=sharing"",""แผน!FV61"")"),0)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IFERROR(__xludf.DUMMYFUNCTION("IMPORTRANGE(""https://docs.google.com/spreadsheets/d/1QqKyyYR6Q21VydFLVH3TRQUabQu_ym0Zz7PgGX0-kHA/edit?usp=sharing"",""แผน!FY61"")"),0)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IFERROR(__xludf.DUMMYFUNCTION("IMPORTRANGE(""https://docs.google.com/spreadsheets/d/1QqKyyYR6Q21VydFLVH3TRQUabQu_ym0Zz7PgGX0-kHA/edit?usp=sharing"",""แผน!FZ61"")"),0)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IFERROR(__xludf.DUMMYFUNCTION("IMPORTRANGE(""https://docs.google.com/spreadsheets/d/1QqKyyYR6Q21VydFLVH3TRQUabQu_ym0Zz7PgGX0-kHA/edit?usp=sharing"",""แผน!GA61"")"),0)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IFERROR(__xludf.DUMMYFUNCTION("IMPORTRANGE(""https://docs.google.com/spreadsheets/d/1QqKyyYR6Q21VydFLVH3TRQUabQu_ym0Zz7PgGX0-kHA/edit?usp=sharing"",""แผน!GB61"")"),0)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IFERROR(__xludf.DUMMYFUNCTION("IMPORTRANGE(""https://docs.google.com/spreadsheets/d/1QqKyyYR6Q21VydFLVH3TRQUabQu_ym0Zz7PgGX0-kHA/edit?usp=sharing"",""แผน!GC61"")"),0)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IFERROR(__xludf.DUMMYFUNCTION("IMPORTRANGE(""https://docs.google.com/spreadsheets/d/1QqKyyYR6Q21VydFLVH3TRQUabQu_ym0Zz7PgGX0-kHA/edit?usp=sharing"",""แผน!FY61"")"),0)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IFERROR(__xludf.DUMMYFUNCTION("IMPORTRANGE(""https://docs.google.com/spreadsheets/d/1QqKyyYR6Q21VydFLVH3TRQUabQu_ym0Zz7PgGX0-kHA/edit?usp=sharing"",""แผน!GA61"")"),0)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IFERROR(__xludf.DUMMYFUNCTION("IMPORTRANGE(""https://docs.google.com/spreadsheets/d/1QqKyyYR6Q21VydFLVH3TRQUabQu_ym0Zz7PgGX0-kHA/edit?usp=sharing"",""แผน!GQ61"")"),0)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IFERROR(__xludf.DUMMYFUNCTION("IMPORTRANGE(""https://docs.google.com/spreadsheets/d/1QqKyyYR6Q21VydFLVH3TRQUabQu_ym0Zz7PgGX0-kHA/edit?usp=sharing"",""แผน!GT61"")"),0)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IFERROR(__xludf.DUMMYFUNCTION("IMPORTRANGE(""https://docs.google.com/spreadsheets/d/1QqKyyYR6Q21VydFLVH3TRQUabQu_ym0Zz7PgGX0-kHA/edit?usp=sharing"",""แผน!GU61"")"),0)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IFERROR(__xludf.DUMMYFUNCTION("IMPORTRANGE(""https://docs.google.com/spreadsheets/d/1QqKyyYR6Q21VydFLVH3TRQUabQu_ym0Zz7PgGX0-kHA/edit?usp=sharing"",""แผน!GV61"")"),0)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IFERROR(__xludf.DUMMYFUNCTION("IMPORTRANGE(""https://docs.google.com/spreadsheets/d/1QqKyyYR6Q21VydFLVH3TRQUabQu_ym0Zz7PgGX0-kHA/edit?usp=sharing"",""แผน!GW61"")"),0)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IFERROR(__xludf.DUMMYFUNCTION("IMPORTRANGE(""https://docs.google.com/spreadsheets/d/1QqKyyYR6Q21VydFLVH3TRQUabQu_ym0Zz7PgGX0-kHA/edit?usp=sharing"",""แผน!GX61"")"),0)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IFERROR(__xludf.DUMMYFUNCTION("IMPORTRANGE(""https://docs.google.com/spreadsheets/d/1QqKyyYR6Q21VydFLVH3TRQUabQu_ym0Zz7PgGX0-kHA/edit?usp=sharing"",""แผน!GY61"")"),0)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IFERROR(__xludf.DUMMYFUNCTION("IMPORTRANGE(""https://docs.google.com/spreadsheets/d/1QqKyyYR6Q21VydFLVH3TRQUabQu_ym0Zz7PgGX0-kHA/edit?usp=sharing"",""แผน!GZ61"")"),0)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73200</v>
      </c>
      <c r="M544" s="154">
        <f t="shared" ca="1" si="236"/>
        <v>73200</v>
      </c>
      <c r="N544" s="154">
        <f t="shared" si="236"/>
        <v>25680</v>
      </c>
      <c r="O544" s="154">
        <f t="shared" ref="O544:O549" ca="1" si="237">IF(L544&gt;0,N544*100/L544,0)</f>
        <v>35.081967213114751</v>
      </c>
      <c r="P544" s="154">
        <f t="shared" ref="P544:P549" ca="1" si="238">IF(M544&gt;0,N544*100/M544,0)</f>
        <v>35.081967213114751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73200</v>
      </c>
      <c r="M546" s="45">
        <f t="shared" ca="1" si="240"/>
        <v>73200</v>
      </c>
      <c r="N546" s="45">
        <f t="shared" si="240"/>
        <v>25680</v>
      </c>
      <c r="O546" s="45">
        <f t="shared" ca="1" si="237"/>
        <v>35.081967213114751</v>
      </c>
      <c r="P546" s="45">
        <f t="shared" ca="1" si="238"/>
        <v>35.081967213114751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73200</v>
      </c>
      <c r="M547" s="38">
        <f t="shared" ca="1" si="241"/>
        <v>73200</v>
      </c>
      <c r="N547" s="38">
        <f t="shared" si="241"/>
        <v>25680</v>
      </c>
      <c r="O547" s="38">
        <f t="shared" ca="1" si="237"/>
        <v>35.081967213114751</v>
      </c>
      <c r="P547" s="38">
        <f t="shared" ca="1" si="238"/>
        <v>35.081967213114751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IFERROR(__xludf.DUMMYFUNCTION("IMPORTRANGE(""https://docs.google.com/spreadsheets/d/1QqKyyYR6Q21VydFLVH3TRQUabQu_ym0Zz7PgGX0-kHA/edit?usp=sharing"",""แผน!HB61"")"),73200)</f>
        <v>73200</v>
      </c>
      <c r="M549" s="45">
        <f ca="1">L549</f>
        <v>73200</v>
      </c>
      <c r="N549" s="45">
        <f>N550+N551+N552+N553+N554</f>
        <v>25680</v>
      </c>
      <c r="O549" s="45">
        <f t="shared" ca="1" si="237"/>
        <v>35.081967213114751</v>
      </c>
      <c r="P549" s="45">
        <f t="shared" ca="1" si="238"/>
        <v>35.081967213114751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25680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IFERROR(__xludf.DUMMYFUNCTION("IMPORTRANGE(""https://docs.google.com/spreadsheets/d/1QqKyyYR6Q21VydFLVH3TRQUabQu_ym0Zz7PgGX0-kHA/edit?usp=sharing"",""แผน!HF61"")"),0)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IFERROR(__xludf.DUMMYFUNCTION("IMPORTRANGE(""https://docs.google.com/spreadsheets/d/1QqKyyYR6Q21VydFLVH3TRQUabQu_ym0Zz7PgGX0-kHA/edit?usp=sharing"",""แผน!HH61"")"),0)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IFERROR(__xludf.DUMMYFUNCTION("IMPORTRANGE(""https://docs.google.com/spreadsheets/d/1QqKyyYR6Q21VydFLVH3TRQUabQu_ym0Zz7PgGX0-kHA/edit?usp=sharing"",""แผน!HG61"")"),0)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IFERROR(__xludf.DUMMYFUNCTION("IMPORTRANGE(""https://docs.google.com/spreadsheets/d/1QqKyyYR6Q21VydFLVH3TRQUabQu_ym0Zz7PgGX0-kHA/edit?usp=sharing"",""แผน!HH61"")"),0)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IFERROR(__xludf.DUMMYFUNCTION("IMPORTRANGE(""https://docs.google.com/spreadsheets/d/1QqKyyYR6Q21VydFLVH3TRQUabQu_ym0Zz7PgGX0-kHA/edit?usp=sharing"",""แผน!HG61"")"),0)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IFERROR(__xludf.DUMMYFUNCTION("IMPORTRANGE(""https://docs.google.com/spreadsheets/d/1QqKyyYR6Q21VydFLVH3TRQUabQu_ym0Zz7PgGX0-kHA/edit?usp=sharing"",""แผน!HH61"")"),0)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IFERROR(__xludf.DUMMYFUNCTION("IMPORTRANGE(""https://docs.google.com/spreadsheets/d/1QqKyyYR6Q21VydFLVH3TRQUabQu_ym0Zz7PgGX0-kHA/edit?usp=sharing"",""แผน!HG61"")"),0)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148.13999999999999</v>
      </c>
      <c r="J592" s="627">
        <f t="shared" si="253"/>
        <v>0</v>
      </c>
      <c r="K592" s="628">
        <f t="shared" ref="K592:K594" ca="1" si="254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IFERROR(__xludf.DUMMYFUNCTION("IMPORTRANGE(""https://docs.google.com/spreadsheets/d/1QqKyyYR6Q21VydFLVH3TRQUabQu_ym0Zz7PgGX0-kHA/edit?usp=sharing"",""แผน!HJ61"")"),148.14)</f>
        <v>148.13999999999999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IFERROR(__xludf.DUMMYFUNCTION("IMPORTRANGE(""https://docs.google.com/spreadsheets/d/1QqKyyYR6Q21VydFLVH3TRQUabQu_ym0Zz7PgGX0-kHA/edit?usp=sharing"",""แผน!HI61"")"),24)</f>
        <v>24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836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IFERROR(__xludf.DUMMYFUNCTION("IMPORTRANGE(""https://docs.google.com/spreadsheets/d/1QqKyyYR6Q21VydFLVH3TRQUabQu_ym0Zz7PgGX0-kHA/edit?usp=sharing"",""แผน!HL61"")"),0)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IFERROR(__xludf.DUMMYFUNCTION("IMPORTRANGE(""https://docs.google.com/spreadsheets/d/1QqKyyYR6Q21VydFLVH3TRQUabQu_ym0Zz7PgGX0-kHA/edit?usp=sharing"",""แผน!HK61"")"),0)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IFERROR(__xludf.DUMMYFUNCTION("IMPORTRANGE(""https://docs.google.com/spreadsheets/d/1QqKyyYR6Q21VydFLVH3TRQUabQu_ym0Zz7PgGX0-kHA/edit?usp=sharing"",""แผน!HN61"")"),0)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IFERROR(__xludf.DUMMYFUNCTION("IMPORTRANGE(""https://docs.google.com/spreadsheets/d/1QqKyyYR6Q21VydFLVH3TRQUabQu_ym0Zz7PgGX0-kHA/edit?usp=sharing"",""แผน!HQ61"")"),0)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IFERROR(__xludf.DUMMYFUNCTION("IMPORTRANGE(""https://docs.google.com/spreadsheets/d/1QqKyyYR6Q21VydFLVH3TRQUabQu_ym0Zz7PgGX0-kHA/edit?usp=sharing"",""แผน!HR61"")"),0)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IFERROR(__xludf.DUMMYFUNCTION("IMPORTRANGE(""https://docs.google.com/spreadsheets/d/1QqKyyYR6Q21VydFLVH3TRQUabQu_ym0Zz7PgGX0-kHA/edit?usp=sharing"",""แผน!HR61"")"),0)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IFERROR(__xludf.DUMMYFUNCTION("IMPORTRANGE(""https://docs.google.com/spreadsheets/d/1XWAQStnk-4SwqDmLtmXYiTMKHgktTP8We1SCoS47DrQ/edit?usp=sharing"",""จัดที่ดิน!AS61"")"),0)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IFERROR(__xludf.DUMMYFUNCTION("IMPORTRANGE(""https://docs.google.com/spreadsheets/d/1XWAQStnk-4SwqDmLtmXYiTMKHgktTP8We1SCoS47DrQ/edit?usp=sharing"",""จัดที่ดิน!AT61"")"),0)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IFERROR(__xludf.DUMMYFUNCTION("IMPORTRANGE(""https://docs.google.com/spreadsheets/d/1QqKyyYR6Q21VydFLVH3TRQUabQu_ym0Zz7PgGX0-kHA/edit?usp=sharing"",""แผน!HS61"")"),0)</f>
        <v>0</v>
      </c>
      <c r="J647" s="37">
        <f ca="1">IFERROR(__xludf.DUMMYFUNCTION("IMPORTRANGE(""https://docs.google.com/spreadsheets/d/1XWAQStnk-4SwqDmLtmXYiTMKHgktTP8We1SCoS47DrQ/edit?usp=sharing"",""จัดที่ดิน!AU61"")"),0)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IFERROR(__xludf.DUMMYFUNCTION("IMPORTRANGE(""https://docs.google.com/spreadsheets/d/1XWAQStnk-4SwqDmLtmXYiTMKHgktTP8We1SCoS47DrQ/edit?usp=sharing"",""จัดที่ดิน!AV61"")"),0)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IFERROR(__xludf.DUMMYFUNCTION("IMPORTRANGE(""https://docs.google.com/spreadsheets/d/1QqKyyYR6Q21VydFLVH3TRQUabQu_ym0Zz7PgGX0-kHA/edit?usp=sharing"",""แผน!HS61"")"),0)</f>
        <v>0</v>
      </c>
      <c r="J649" s="37">
        <f ca="1">IFERROR(__xludf.DUMMYFUNCTION("IMPORTRANGE(""https://docs.google.com/spreadsheets/d/1XWAQStnk-4SwqDmLtmXYiTMKHgktTP8We1SCoS47DrQ/edit?usp=sharing"",""จัดที่ดิน!AW61"")"),0)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IFERROR(__xludf.DUMMYFUNCTION("IMPORTRANGE(""https://docs.google.com/spreadsheets/d/1XWAQStnk-4SwqDmLtmXYiTMKHgktTP8We1SCoS47DrQ/edit?usp=sharing"",""จัดที่ดิน!AX61"")"),0)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IFERROR(__xludf.DUMMYFUNCTION("IMPORTRANGE(""https://docs.google.com/spreadsheets/d/1QqKyyYR6Q21VydFLVH3TRQUabQu_ym0Zz7PgGX0-kHA/edit?usp=sharing"",""แผน!HS61"")"),0)</f>
        <v>0</v>
      </c>
      <c r="J651" s="37">
        <f ca="1">IFERROR(__xludf.DUMMYFUNCTION("IMPORTRANGE(""https://docs.google.com/spreadsheets/d/1XWAQStnk-4SwqDmLtmXYiTMKHgktTP8We1SCoS47DrQ/edit?usp=sharing"",""จัดที่ดิน!AY61"")"),0)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IFERROR(__xludf.DUMMYFUNCTION("IMPORTRANGE(""https://docs.google.com/spreadsheets/d/1XWAQStnk-4SwqDmLtmXYiTMKHgktTP8We1SCoS47DrQ/edit?usp=sharing"",""จัดที่ดิน!AZ61"")"),0)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IFERROR(__xludf.DUMMYFUNCTION("IMPORTRANGE(""https://docs.google.com/spreadsheets/d/1QqKyyYR6Q21VydFLVH3TRQUabQu_ym0Zz7PgGX0-kHA/edit?usp=sharing"",""แผน!HV61"")"),0)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IFERROR(__xludf.DUMMYFUNCTION("IMPORTRANGE(""https://docs.google.com/spreadsheets/d/1QqKyyYR6Q21VydFLVH3TRQUabQu_ym0Zz7PgGX0-kHA/edit?usp=sharing"",""แผน!IA61"")"),0)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IFERROR(__xludf.DUMMYFUNCTION("IMPORTRANGE(""https://docs.google.com/spreadsheets/d/1QqKyyYR6Q21VydFLVH3TRQUabQu_ym0Zz7PgGX0-kHA/edit?usp=sharing"",""แผน!HZ61"")"),0)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IFERROR(__xludf.DUMMYFUNCTION("IMPORTRANGE(""https://docs.google.com/spreadsheets/d/1QqKyyYR6Q21VydFLVH3TRQUabQu_ym0Zz7PgGX0-kHA/edit?usp=sharing"",""แผน!HZ61"")"),0)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79450</v>
      </c>
      <c r="M685" s="191">
        <f t="shared" ca="1" si="282"/>
        <v>79450</v>
      </c>
      <c r="N685" s="191">
        <f t="shared" si="282"/>
        <v>28210</v>
      </c>
      <c r="O685" s="191">
        <f t="shared" ref="O685:O688" ca="1" si="283">IF(L685&gt;0,N685*100/L685,0)</f>
        <v>35.506607929515418</v>
      </c>
      <c r="P685" s="191">
        <f t="shared" ref="P685:P688" ca="1" si="284">IF(M685&gt;0,N685*100/M685,0)</f>
        <v>35.506607929515418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79450</v>
      </c>
      <c r="M687" s="45">
        <f t="shared" ca="1" si="285"/>
        <v>79450</v>
      </c>
      <c r="N687" s="45">
        <f t="shared" si="285"/>
        <v>28210</v>
      </c>
      <c r="O687" s="45">
        <f t="shared" ca="1" si="283"/>
        <v>35.506607929515418</v>
      </c>
      <c r="P687" s="45">
        <f t="shared" ca="1" si="284"/>
        <v>35.506607929515418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79450</v>
      </c>
      <c r="M688" s="38">
        <f t="shared" ca="1" si="286"/>
        <v>79450</v>
      </c>
      <c r="N688" s="38">
        <f t="shared" si="286"/>
        <v>28210</v>
      </c>
      <c r="O688" s="38">
        <f t="shared" ca="1" si="283"/>
        <v>35.506607929515418</v>
      </c>
      <c r="P688" s="38">
        <f t="shared" ca="1" si="284"/>
        <v>35.506607929515418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IFERROR(__xludf.DUMMYFUNCTION("IMPORTRANGE(""https://docs.google.com/spreadsheets/d/1QqKyyYR6Q21VydFLVH3TRQUabQu_ym0Zz7PgGX0-kHA/edit?usp=sharing"",""แผน!HW61"")"),79450)</f>
        <v>79450</v>
      </c>
      <c r="M690" s="45">
        <f ca="1">L690</f>
        <v>79450</v>
      </c>
      <c r="N690" s="45">
        <f>N691+N692+N693+N694</f>
        <v>28210</v>
      </c>
      <c r="O690" s="45">
        <f ca="1">IF(L690&gt;0,N690*100/L690,0)</f>
        <v>35.506607929515418</v>
      </c>
      <c r="P690" s="45">
        <f ca="1">IF(M690&gt;0,N690*100/M690,0)</f>
        <v>35.506607929515418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28210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IFERROR(__xludf.DUMMYFUNCTION("IMPORTRANGE(""https://docs.google.com/spreadsheets/d/1QqKyyYR6Q21VydFLVH3TRQUabQu_ym0Zz7PgGX0-kHA/edit?usp=sharing"",""แผน!IC61"")"),0)</f>
        <v>0</v>
      </c>
      <c r="J699" s="37">
        <f ca="1">IFERROR(__xludf.DUMMYFUNCTION("IMPORTRANGE(""https://docs.google.com/spreadsheets/d/1XWAQStnk-4SwqDmLtmXYiTMKHgktTP8We1SCoS47DrQ/edit?usp=sharing"",""จัดที่ดิน!BB61"")"),0)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IFERROR(__xludf.DUMMYFUNCTION("IMPORTRANGE(""https://docs.google.com/spreadsheets/d/1QqKyyYR6Q21VydFLVH3TRQUabQu_ym0Zz7PgGX0-kHA/edit?usp=sharing"",""แผน!ID61"")"),0)</f>
        <v>0</v>
      </c>
      <c r="J700" s="37">
        <f ca="1">IFERROR(__xludf.DUMMYFUNCTION("IMPORTRANGE(""https://docs.google.com/spreadsheets/d/1XWAQStnk-4SwqDmLtmXYiTMKHgktTP8We1SCoS47DrQ/edit?usp=sharing"",""จัดที่ดิน!BD61"")"),39)</f>
        <v>39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IFERROR(__xludf.DUMMYFUNCTION("IMPORTRANGE(""https://docs.google.com/spreadsheets/d/1QqKyyYR6Q21VydFLVH3TRQUabQu_ym0Zz7PgGX0-kHA/edit?usp=sharing"",""แผน!IE61"")"),300)</f>
        <v>300</v>
      </c>
      <c r="J701" s="190">
        <f>J704+J707</f>
        <v>304.62</v>
      </c>
      <c r="K701" s="191">
        <f t="shared" ca="1" si="290"/>
        <v>101.54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40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43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IFERROR(__xludf.DUMMYFUNCTION("IMPORTRANGE(""https://docs.google.com/spreadsheets/d/1QqKyyYR6Q21VydFLVH3TRQUabQu_ym0Zz7PgGX0-kHA/edit?usp=sharing"",""แผน!IF61"")"),300)</f>
        <v>300</v>
      </c>
      <c r="J704" s="836">
        <v>304.62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IFERROR(__xludf.DUMMYFUNCTION("IMPORTRANGE(""https://docs.google.com/spreadsheets/d/1QqKyyYR6Q21VydFLVH3TRQUabQu_ym0Zz7PgGX0-kHA/edit?usp=sharing"",""แผน!IG61"")"),0)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IFERROR(__xludf.DUMMYFUNCTION("IMPORTRANGE(""https://docs.google.com/spreadsheets/d/1QqKyyYR6Q21VydFLVH3TRQUabQu_ym0Zz7PgGX0-kHA/edit?usp=sharing"",""แผน!IH61"")"),350)</f>
        <v>350</v>
      </c>
      <c r="J708" s="190">
        <f>J714+J717</f>
        <v>350</v>
      </c>
      <c r="K708" s="191">
        <f ca="1">IF(I708&gt;0,J708*100/I708,0)</f>
        <v>100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25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350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23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15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169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10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181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IFERROR(__xludf.DUMMYFUNCTION("IMPORTRANGE(""https://docs.google.com/spreadsheets/d/1XWAQStnk-4SwqDmLtmXYiTMKHgktTP8We1SCoS47DrQ/edit?usp=sharing"",""จัดที่ดิน!BF61"")"),18)</f>
        <v>18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IFERROR(__xludf.DUMMYFUNCTION("IMPORTRANGE(""https://docs.google.com/spreadsheets/d/1XWAQStnk-4SwqDmLtmXYiTMKHgktTP8We1SCoS47DrQ/edit?usp=sharing"",""จัดที่ดิน!BG61"")"),20)</f>
        <v>20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IFERROR(__xludf.DUMMYFUNCTION("IMPORTRANGE(""https://docs.google.com/spreadsheets/d/1QqKyyYR6Q21VydFLVH3TRQUabQu_ym0Zz7PgGX0-kHA/edit?usp=sharing"",""แผน!II61"")"),585)</f>
        <v>585</v>
      </c>
      <c r="J720" s="37">
        <f ca="1">IFERROR(__xludf.DUMMYFUNCTION("IMPORTRANGE(""https://docs.google.com/spreadsheets/d/1XWAQStnk-4SwqDmLtmXYiTMKHgktTP8We1SCoS47DrQ/edit?usp=sharing"",""จัดที่ดิน!BH61"")"),187.12)</f>
        <v>187.12</v>
      </c>
      <c r="K720" s="38">
        <f t="shared" ref="K720:K723" ca="1" si="291">IF(I720&gt;0,J720*100/I720,0)</f>
        <v>31.986324786324786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IFERROR(__xludf.DUMMYFUNCTION("IMPORTRANGE(""https://docs.google.com/spreadsheets/d/1QqKyyYR6Q21VydFLVH3TRQUabQu_ym0Zz7PgGX0-kHA/edit?usp=sharing"",""แผน!IJ61"")"),40)</f>
        <v>40</v>
      </c>
      <c r="J721" s="190">
        <f ca="1">J723+J726</f>
        <v>2</v>
      </c>
      <c r="K721" s="191">
        <f t="shared" ca="1" si="291"/>
        <v>5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IFERROR(__xludf.DUMMYFUNCTION("IMPORTRANGE(""https://docs.google.com/spreadsheets/d/1QqKyyYR6Q21VydFLVH3TRQUabQu_ym0Zz7PgGX0-kHA/edit?usp=sharing"",""แผน!IK61"")"),400)</f>
        <v>400</v>
      </c>
      <c r="J722" s="190">
        <f ca="1">J725+J728</f>
        <v>53.69</v>
      </c>
      <c r="K722" s="191">
        <f t="shared" ca="1" si="291"/>
        <v>13.422499999999999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IFERROR(__xludf.DUMMYFUNCTION("IMPORTRANGE(""https://docs.google.com/spreadsheets/d/1QqKyyYR6Q21VydFLVH3TRQUabQu_ym0Zz7PgGX0-kHA/edit?usp=sharing"",""แผน!IL61"")"),20)</f>
        <v>20</v>
      </c>
      <c r="J723" s="37">
        <f ca="1">IFERROR(__xludf.DUMMYFUNCTION("IMPORTRANGE(""https://docs.google.com/spreadsheets/d/1XWAQStnk-4SwqDmLtmXYiTMKHgktTP8We1SCoS47DrQ/edit?usp=sharing"",""จัดที่ดิน!BM61"")"),2)</f>
        <v>2</v>
      </c>
      <c r="K723" s="38">
        <f t="shared" ca="1" si="291"/>
        <v>10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IFERROR(__xludf.DUMMYFUNCTION("IMPORTRANGE(""https://docs.google.com/spreadsheets/d/1XWAQStnk-4SwqDmLtmXYiTMKHgktTP8We1SCoS47DrQ/edit?usp=sharing"",""จัดที่ดิน!BN61"")"),2)</f>
        <v>2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IFERROR(__xludf.DUMMYFUNCTION("IMPORTRANGE(""https://docs.google.com/spreadsheets/d/1QqKyyYR6Q21VydFLVH3TRQUabQu_ym0Zz7PgGX0-kHA/edit?usp=sharing"",""แผน!IM61"")"),200)</f>
        <v>200</v>
      </c>
      <c r="J725" s="37">
        <f ca="1">IFERROR(__xludf.DUMMYFUNCTION("IMPORTRANGE(""https://docs.google.com/spreadsheets/d/1XWAQStnk-4SwqDmLtmXYiTMKHgktTP8We1SCoS47DrQ/edit?usp=sharing"",""จัดที่ดิน!BO61"")"),53.69)</f>
        <v>53.69</v>
      </c>
      <c r="K725" s="38">
        <f t="shared" ref="K725:K726" ca="1" si="292">IF(I725&gt;0,J725*100/I725,0)</f>
        <v>26.844999999999999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IFERROR(__xludf.DUMMYFUNCTION("IMPORTRANGE(""https://docs.google.com/spreadsheets/d/1QqKyyYR6Q21VydFLVH3TRQUabQu_ym0Zz7PgGX0-kHA/edit?usp=sharing"",""แผน!IN61"")"),20)</f>
        <v>20</v>
      </c>
      <c r="J726" s="37">
        <f ca="1">IFERROR(__xludf.DUMMYFUNCTION("IMPORTRANGE(""https://docs.google.com/spreadsheets/d/1XWAQStnk-4SwqDmLtmXYiTMKHgktTP8We1SCoS47DrQ/edit?usp=sharing"",""จัดที่ดิน!BR61"")"),0)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IFERROR(__xludf.DUMMYFUNCTION("IMPORTRANGE(""https://docs.google.com/spreadsheets/d/1XWAQStnk-4SwqDmLtmXYiTMKHgktTP8We1SCoS47DrQ/edit?usp=sharing"",""จัดที่ดิน!BS61"")"),0)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IFERROR(__xludf.DUMMYFUNCTION("IMPORTRANGE(""https://docs.google.com/spreadsheets/d/1QqKyyYR6Q21VydFLVH3TRQUabQu_ym0Zz7PgGX0-kHA/edit?usp=sharing"",""แผน!IO61"")"),200)</f>
        <v>200</v>
      </c>
      <c r="J728" s="37">
        <f ca="1">IFERROR(__xludf.DUMMYFUNCTION("IMPORTRANGE(""https://docs.google.com/spreadsheets/d/1XWAQStnk-4SwqDmLtmXYiTMKHgktTP8We1SCoS47DrQ/edit?usp=sharing"",""จัดที่ดิน!BT61"")"),0)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IFERROR(__xludf.DUMMYFUNCTION("IMPORTRANGE(""https://docs.google.com/spreadsheets/d/1QqKyyYR6Q21VydFLVH3TRQUabQu_ym0Zz7PgGX0-kHA/edit?usp=sharing"",""แผน!IP61"")"),50)</f>
        <v>50</v>
      </c>
      <c r="J729" s="190">
        <f>J732+J735</f>
        <v>76.137500000000003</v>
      </c>
      <c r="K729" s="191">
        <f t="shared" ca="1" si="293"/>
        <v>152.27500000000001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836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7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4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837">
        <v>76.137500000000003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IFERROR(__xludf.DUMMYFUNCTION("IMPORTRANGE(""https://docs.google.com/spreadsheets/d/1QqKyyYR6Q21VydFLVH3TRQUabQu_ym0Zz7PgGX0-kHA/edit?usp=sharing"",""แผน!JJ61"")"),0)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IFERROR(__xludf.DUMMYFUNCTION("IMPORTRANGE(""https://docs.google.com/spreadsheets/d/1QqKyyYR6Q21VydFLVH3TRQUabQu_ym0Zz7PgGX0-kHA/edit?usp=sharing"",""แผน!JN61"")"),0)</f>
        <v>0</v>
      </c>
      <c r="J800" s="161">
        <f ca="1">IFERROR(__xludf.DUMMYFUNCTION("IMPORTRANGE(""https://docs.google.com/spreadsheets/d/1MaWodYyGHDf7siQLGxnXhG4mBNTNIuy296niS2xXulU/edit?usp=sharing"",""RTK!H61"")"),0)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IFERROR(__xludf.DUMMYFUNCTION("IMPORTRANGE(""https://docs.google.com/spreadsheets/d/1MaWodYyGHDf7siQLGxnXhG4mBNTNIuy296niS2xXulU/edit?usp=sharing"",""RTK!I61"")"),0)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37">
        <f ca="1">IFERROR(__xludf.DUMMYFUNCTION("IMPORTRANGE(""https://docs.google.com/spreadsheets/d/19vJNZY_5yjcGF2XGBMNZRCAIB0Kwfpjp8YEOfu-bneM/edit?usp=sharing"",""งานกองทุน!F61"")"),1011999.99)</f>
        <v>1011999.99</v>
      </c>
      <c r="K821" s="38">
        <f t="shared" ref="K821:K828" ca="1" si="335">IF(I821&gt;0,J821*100/I821,0)</f>
        <v>103.26530615576843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IFERROR(__xludf.DUMMYFUNCTION("IMPORTRANGE(""https://docs.google.com/spreadsheets/d/19vJNZY_5yjcGF2XGBMNZRCAIB0Kwfpjp8YEOfu-bneM/edit?usp=sharing"",""งานกองทุน!C61"")"),32)</f>
        <v>32</v>
      </c>
      <c r="J822" s="37">
        <f ca="1">IFERROR(__xludf.DUMMYFUNCTION("IMPORTRANGE(""https://docs.google.com/spreadsheets/d/19vJNZY_5yjcGF2XGBMNZRCAIB0Kwfpjp8YEOfu-bneM/edit?usp=sharing"",""งานกองทุน!E61"")"),34)</f>
        <v>34</v>
      </c>
      <c r="K822" s="38">
        <f t="shared" ca="1" si="335"/>
        <v>106.25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37">
        <f ca="1">IFERROR(__xludf.DUMMYFUNCTION("IMPORTRANGE(""https://docs.google.com/spreadsheets/d/19vJNZY_5yjcGF2XGBMNZRCAIB0Kwfpjp8YEOfu-bneM/edit?usp=sharing"",""งานกองทุน!K61"")"),444400.26)</f>
        <v>444400.26</v>
      </c>
      <c r="K823" s="38">
        <f t="shared" ca="1" si="335"/>
        <v>209.0499574068017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IFERROR(__xludf.DUMMYFUNCTION("IMPORTRANGE(""https://docs.google.com/spreadsheets/d/19vJNZY_5yjcGF2XGBMNZRCAIB0Kwfpjp8YEOfu-bneM/edit?usp=sharing"",""งานกองทุน!H61"")"),8)</f>
        <v>8</v>
      </c>
      <c r="J824" s="37">
        <f ca="1">IFERROR(__xludf.DUMMYFUNCTION("IMPORTRANGE(""https://docs.google.com/spreadsheets/d/19vJNZY_5yjcGF2XGBMNZRCAIB0Kwfpjp8YEOfu-bneM/edit?usp=sharing"",""งานกองทุน!J61"")"),11)</f>
        <v>11</v>
      </c>
      <c r="K824" s="38">
        <f t="shared" ca="1" si="335"/>
        <v>137.5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37">
        <f ca="1">IFERROR(__xludf.DUMMYFUNCTION("IMPORTRANGE(""https://docs.google.com/spreadsheets/d/19vJNZY_5yjcGF2XGBMNZRCAIB0Kwfpjp8YEOfu-bneM/edit?usp=sharing"",""งานกองทุน!P61"")"),1436205.69)</f>
        <v>1436205.69</v>
      </c>
      <c r="K825" s="38">
        <f t="shared" ca="1" si="335"/>
        <v>49.074376426359365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IFERROR(__xludf.DUMMYFUNCTION("IMPORTRANGE(""https://docs.google.com/spreadsheets/d/19vJNZY_5yjcGF2XGBMNZRCAIB0Kwfpjp8YEOfu-bneM/edit?usp=sharing"",""งานกองทุน!M61"")"),1916)</f>
        <v>1916</v>
      </c>
      <c r="J826" s="37">
        <f ca="1">IFERROR(__xludf.DUMMYFUNCTION("IMPORTRANGE(""https://docs.google.com/spreadsheets/d/19vJNZY_5yjcGF2XGBMNZRCAIB0Kwfpjp8YEOfu-bneM/edit?usp=sharing"",""งานกองทุน!O61"")"),1556)</f>
        <v>1556</v>
      </c>
      <c r="K826" s="38">
        <f t="shared" ca="1" si="335"/>
        <v>81.210855949895617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IFERROR(__xludf.DUMMYFUNCTION("IMPORTRANGE(""https://docs.google.com/spreadsheets/d/19vJNZY_5yjcGF2XGBMNZRCAIB0Kwfpjp8YEOfu-bneM/edit?usp=sharing"",""งานกองทุน!S61"")"),1080000)</f>
        <v>1080000</v>
      </c>
      <c r="J827" s="37">
        <f ca="1">IFERROR(__xludf.DUMMYFUNCTION("IMPORTRANGE(""https://docs.google.com/spreadsheets/d/19vJNZY_5yjcGF2XGBMNZRCAIB0Kwfpjp8YEOfu-bneM/edit?usp=sharing"",""งานกองทุน!U61"")"),940000)</f>
        <v>940000</v>
      </c>
      <c r="K827" s="38">
        <f t="shared" ca="1" si="335"/>
        <v>87.037037037037038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IFERROR(__xludf.DUMMYFUNCTION("IMPORTRANGE(""https://docs.google.com/spreadsheets/d/19vJNZY_5yjcGF2XGBMNZRCAIB0Kwfpjp8YEOfu-bneM/edit?usp=sharing"",""งานกองทุน!R61"")"),42)</f>
        <v>42</v>
      </c>
      <c r="J828" s="365">
        <f ca="1">IFERROR(__xludf.DUMMYFUNCTION("IMPORTRANGE(""https://docs.google.com/spreadsheets/d/19vJNZY_5yjcGF2XGBMNZRCAIB0Kwfpjp8YEOfu-bneM/edit?usp=sharing"",""งานกองทุน!T61"")"),33)</f>
        <v>33</v>
      </c>
      <c r="K828" s="472">
        <f t="shared" ca="1" si="335"/>
        <v>78.571428571428569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62C5-A188-4432-A1CF-0766E12188B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348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3354377</v>
      </c>
      <c r="N8" s="22">
        <f t="shared" ca="1" si="0"/>
        <v>2599142.0499999998</v>
      </c>
      <c r="O8" s="22">
        <f t="shared" ref="O8:O16" ca="1" si="1">IF(L8&gt;0,N8*100/L8,0)</f>
        <v>81.064227179515157</v>
      </c>
      <c r="P8" s="22">
        <f t="shared" ref="P8:P16" ca="1" si="2">IF(M8&gt;0,N8*100/M8,0)</f>
        <v>77.485090375947593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3354377</v>
      </c>
      <c r="N10" s="30">
        <f t="shared" ca="1" si="3"/>
        <v>2599142.0499999998</v>
      </c>
      <c r="O10" s="30">
        <f t="shared" ca="1" si="1"/>
        <v>81.064227179515157</v>
      </c>
      <c r="P10" s="30">
        <f t="shared" ca="1" si="2"/>
        <v>77.485090375947593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3054675</v>
      </c>
      <c r="M11" s="38">
        <f t="shared" ca="1" si="4"/>
        <v>3202777</v>
      </c>
      <c r="N11" s="38">
        <f t="shared" ca="1" si="4"/>
        <v>2447542.0499999998</v>
      </c>
      <c r="O11" s="38">
        <f t="shared" ca="1" si="1"/>
        <v>80.124466596282744</v>
      </c>
      <c r="P11" s="38">
        <f t="shared" ca="1" si="2"/>
        <v>76.419371376777079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3054675</v>
      </c>
      <c r="M13" s="45">
        <f t="shared" ca="1" si="5"/>
        <v>3202777</v>
      </c>
      <c r="N13" s="45">
        <f t="shared" ca="1" si="5"/>
        <v>2447542.0499999998</v>
      </c>
      <c r="O13" s="45">
        <f t="shared" ca="1" si="1"/>
        <v>80.124466596282744</v>
      </c>
      <c r="P13" s="45">
        <f t="shared" ca="1" si="2"/>
        <v>76.419371376777079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151600</v>
      </c>
      <c r="M14" s="38">
        <f t="shared" ca="1" si="6"/>
        <v>151600</v>
      </c>
      <c r="N14" s="38">
        <f t="shared" ca="1" si="6"/>
        <v>151600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2231912</v>
      </c>
      <c r="N18" s="22">
        <f t="shared" ca="1" si="8"/>
        <v>1812746.44</v>
      </c>
      <c r="O18" s="22">
        <f t="shared" ref="O18:O26" ca="1" si="9">IF(L18&gt;0,N18*100/L18,0)</f>
        <v>86.991925367475915</v>
      </c>
      <c r="P18" s="22">
        <f t="shared" ref="P18:P26" ca="1" si="10">IF(M18&gt;0,N18*100/M18,0)</f>
        <v>81.219440551419595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2231912</v>
      </c>
      <c r="N20" s="30">
        <f t="shared" ca="1" si="11"/>
        <v>1812746.44</v>
      </c>
      <c r="O20" s="30">
        <f t="shared" ca="1" si="9"/>
        <v>86.991925367475915</v>
      </c>
      <c r="P20" s="30">
        <f t="shared" ca="1" si="10"/>
        <v>81.219440551419595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1932210</v>
      </c>
      <c r="M21" s="38">
        <f t="shared" ca="1" si="12"/>
        <v>2080312</v>
      </c>
      <c r="N21" s="38">
        <f t="shared" ca="1" si="12"/>
        <v>1661146.44</v>
      </c>
      <c r="O21" s="38">
        <f t="shared" ca="1" si="9"/>
        <v>85.971319887589857</v>
      </c>
      <c r="P21" s="38">
        <f t="shared" ca="1" si="10"/>
        <v>79.85083199058603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1932210</v>
      </c>
      <c r="M23" s="45">
        <f t="shared" ca="1" si="13"/>
        <v>2080312</v>
      </c>
      <c r="N23" s="45">
        <f t="shared" ca="1" si="13"/>
        <v>1661146.44</v>
      </c>
      <c r="O23" s="45">
        <f t="shared" ca="1" si="9"/>
        <v>85.971319887589857</v>
      </c>
      <c r="P23" s="45">
        <f t="shared" ca="1" si="10"/>
        <v>79.85083199058603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151600</v>
      </c>
      <c r="M24" s="38">
        <f t="shared" ca="1" si="14"/>
        <v>151600</v>
      </c>
      <c r="N24" s="38">
        <f t="shared" ca="1" si="14"/>
        <v>151600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786395.61</v>
      </c>
      <c r="O28" s="22">
        <f t="shared" ref="O28:O37" ca="1" si="17">IF(L28&gt;0,N28*100/L28,0)</f>
        <v>70.059699857011125</v>
      </c>
      <c r="P28" s="22">
        <f t="shared" ref="P28:P37" ca="1" si="18">IF(M28&gt;0,N28*100/M28,0)</f>
        <v>70.059699857011125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786395.61</v>
      </c>
      <c r="O30" s="30">
        <f t="shared" ca="1" si="17"/>
        <v>70.059699857011125</v>
      </c>
      <c r="P30" s="30">
        <f t="shared" ca="1" si="18"/>
        <v>70.059699857011125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1122465</v>
      </c>
      <c r="M31" s="38">
        <f t="shared" ca="1" si="20"/>
        <v>1122465</v>
      </c>
      <c r="N31" s="38">
        <f t="shared" si="20"/>
        <v>786395.61</v>
      </c>
      <c r="O31" s="38">
        <f t="shared" ca="1" si="17"/>
        <v>70.059699857011125</v>
      </c>
      <c r="P31" s="38">
        <f t="shared" ca="1" si="18"/>
        <v>70.059699857011125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1122465</v>
      </c>
      <c r="M33" s="45">
        <f t="shared" ca="1" si="21"/>
        <v>1122465</v>
      </c>
      <c r="N33" s="45">
        <f t="shared" si="21"/>
        <v>786395.61</v>
      </c>
      <c r="O33" s="45">
        <f t="shared" ca="1" si="17"/>
        <v>70.059699857011125</v>
      </c>
      <c r="P33" s="45">
        <f t="shared" ca="1" si="18"/>
        <v>70.059699857011125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2231912</v>
      </c>
      <c r="N37" s="59">
        <f t="shared" ca="1" si="24"/>
        <v>1812746.44</v>
      </c>
      <c r="O37" s="59">
        <f t="shared" ca="1" si="17"/>
        <v>86.991925367475915</v>
      </c>
      <c r="P37" s="59">
        <f t="shared" ca="1" si="18"/>
        <v>81.219440551419595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371832</v>
      </c>
      <c r="N41" s="85">
        <f t="shared" ca="1" si="25"/>
        <v>301832</v>
      </c>
      <c r="O41" s="85">
        <f t="shared" ref="O41:O49" ca="1" si="26">IF(L41&gt;0,N41*100/L41,0)</f>
        <v>105.94313794313794</v>
      </c>
      <c r="P41" s="85">
        <f t="shared" ref="P41:P49" ca="1" si="27">IF(M41&gt;0,N41*100/M41,0)</f>
        <v>81.1742937670776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371832</v>
      </c>
      <c r="N43" s="92">
        <f t="shared" ca="1" si="28"/>
        <v>301832</v>
      </c>
      <c r="O43" s="92">
        <f t="shared" ca="1" si="26"/>
        <v>105.94313794313794</v>
      </c>
      <c r="P43" s="92">
        <f t="shared" ca="1" si="27"/>
        <v>81.1742937670776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284900</v>
      </c>
      <c r="M44" s="38">
        <f t="shared" ca="1" si="29"/>
        <v>371832</v>
      </c>
      <c r="N44" s="38">
        <f t="shared" ca="1" si="29"/>
        <v>301832</v>
      </c>
      <c r="O44" s="38">
        <f t="shared" ca="1" si="26"/>
        <v>105.94313794313794</v>
      </c>
      <c r="P44" s="38">
        <f t="shared" ca="1" si="27"/>
        <v>81.1742937670776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IFERROR(__xludf.DUMMYFUNCTION("IMPORTRANGE(""https://docs.google.com/spreadsheets/d/1MeEWN-I1oV_STSDYn1IFDPWt_1FKiwhDph83XaGc0o0/edit?usp=sharing"",""งบพรบ!M62"")"),284900)</f>
        <v>284900</v>
      </c>
      <c r="M46" s="45">
        <f ca="1">IFERROR(__xludf.DUMMYFUNCTION("IMPORTRANGE(""https://docs.google.com/spreadsheets/d/1MeEWN-I1oV_STSDYn1IFDPWt_1FKiwhDph83XaGc0o0/edit?usp=sharing"",""งบพรบ!R62"")"),371832)</f>
        <v>371832</v>
      </c>
      <c r="N46" s="45">
        <f ca="1">IFERROR(__xludf.DUMMYFUNCTION("IMPORTRANGE(""https://docs.google.com/spreadsheets/d/1MeEWN-I1oV_STSDYn1IFDPWt_1FKiwhDph83XaGc0o0/edit?usp=sharing"",""งบพรบ!T62"")"),301832)</f>
        <v>301832</v>
      </c>
      <c r="O46" s="45">
        <f t="shared" ca="1" si="26"/>
        <v>105.94313794313794</v>
      </c>
      <c r="P46" s="45">
        <f t="shared" ca="1" si="27"/>
        <v>81.1742937670776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577900</v>
      </c>
      <c r="M53" s="115">
        <f t="shared" ca="1" si="31"/>
        <v>577900</v>
      </c>
      <c r="N53" s="115">
        <f t="shared" ca="1" si="31"/>
        <v>552695.4</v>
      </c>
      <c r="O53" s="115">
        <f t="shared" ref="O53:O61" ca="1" si="32">IF(L53&gt;0,N53*100/L53,0)</f>
        <v>95.638587991001899</v>
      </c>
      <c r="P53" s="115">
        <f t="shared" ref="P53:P61" ca="1" si="33">IF(M53&gt;0,N53*100/M53,0)</f>
        <v>95.638587991001899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577900</v>
      </c>
      <c r="M55" s="122">
        <f t="shared" ca="1" si="34"/>
        <v>577900</v>
      </c>
      <c r="N55" s="122">
        <f t="shared" ca="1" si="34"/>
        <v>552695.4</v>
      </c>
      <c r="O55" s="122">
        <f t="shared" ca="1" si="32"/>
        <v>95.638587991001899</v>
      </c>
      <c r="P55" s="122">
        <f t="shared" ca="1" si="33"/>
        <v>95.638587991001899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577900</v>
      </c>
      <c r="M56" s="38">
        <f t="shared" ca="1" si="35"/>
        <v>577900</v>
      </c>
      <c r="N56" s="38">
        <f t="shared" ca="1" si="35"/>
        <v>552695.4</v>
      </c>
      <c r="O56" s="38">
        <f t="shared" ca="1" si="32"/>
        <v>95.638587991001899</v>
      </c>
      <c r="P56" s="38">
        <f t="shared" ca="1" si="33"/>
        <v>95.638587991001899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IFERROR(__xludf.DUMMYFUNCTION("IMPORTRANGE(""https://docs.google.com/spreadsheets/d/1MeEWN-I1oV_STSDYn1IFDPWt_1FKiwhDph83XaGc0o0/edit?usp=sharing"",""งบพรบ!W62"")"),577900)</f>
        <v>577900</v>
      </c>
      <c r="M58" s="45">
        <f ca="1">IFERROR(__xludf.DUMMYFUNCTION("IMPORTRANGE(""https://docs.google.com/spreadsheets/d/1MeEWN-I1oV_STSDYn1IFDPWt_1FKiwhDph83XaGc0o0/edit?usp=sharing"",""งบพรบ!AB62"")"),577900)</f>
        <v>577900</v>
      </c>
      <c r="N58" s="45">
        <f ca="1">IFERROR(__xludf.DUMMYFUNCTION("IMPORTRANGE(""https://docs.google.com/spreadsheets/d/1MeEWN-I1oV_STSDYn1IFDPWt_1FKiwhDph83XaGc0o0/edit?usp=sharing"",""งบพรบ!AD62"")"),552695.4)</f>
        <v>552695.4</v>
      </c>
      <c r="O58" s="45">
        <f t="shared" ca="1" si="32"/>
        <v>95.638587991001899</v>
      </c>
      <c r="P58" s="45">
        <f t="shared" ca="1" si="33"/>
        <v>95.638587991001899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IFERROR(__xludf.DUMMYFUNCTION("IMPORTRANGE(""https://docs.google.com/spreadsheets/d/1MeEWN-I1oV_STSDYn1IFDPWt_1FKiwhDph83XaGc0o0/edit?usp=sharing"",""งบพรบ!AG62"")"),0)</f>
        <v>0</v>
      </c>
      <c r="M71" s="45">
        <f ca="1">IFERROR(__xludf.DUMMYFUNCTION("IMPORTRANGE(""https://docs.google.com/spreadsheets/d/1MeEWN-I1oV_STSDYn1IFDPWt_1FKiwhDph83XaGc0o0/edit?usp=sharing"",""งบพรบ!AL62"")"),0)</f>
        <v>0</v>
      </c>
      <c r="N71" s="45">
        <f ca="1">IFERROR(__xludf.DUMMYFUNCTION("IMPORTRANGE(""https://docs.google.com/spreadsheets/d/1MeEWN-I1oV_STSDYn1IFDPWt_1FKiwhDph83XaGc0o0/edit?usp=sharing"",""งบพรบ!AN62"")"),0)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IFERROR(__xludf.DUMMYFUNCTION("IMPORTRANGE(""https://docs.google.com/spreadsheets/d/1MeEWN-I1oV_STSDYn1IFDPWt_1FKiwhDph83XaGc0o0/edit?usp=sharing"",""งบพรบ!AJ62"")"),0)</f>
        <v>0</v>
      </c>
      <c r="M74" s="45">
        <f ca="1">IFERROR(__xludf.DUMMYFUNCTION("IMPORTRANGE(""https://docs.google.com/spreadsheets/d/1MeEWN-I1oV_STSDYn1IFDPWt_1FKiwhDph83XaGc0o0/edit?usp=sharing"",""งบพรบ!AM62"")"),0)</f>
        <v>0</v>
      </c>
      <c r="N74" s="45">
        <f ca="1">IFERROR(__xludf.DUMMYFUNCTION("IMPORTRANGE(""https://docs.google.com/spreadsheets/d/1MeEWN-I1oV_STSDYn1IFDPWt_1FKiwhDph83XaGc0o0/edit?usp=sharing"",""งบพรบ!AO62"")"),0)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IFERROR(__xludf.DUMMYFUNCTION("IMPORTRANGE(""https://docs.google.com/spreadsheets/d/1QqKyyYR6Q21VydFLVH3TRQUabQu_ym0Zz7PgGX0-kHA/edit?usp=sharing"",""แผน!H62"")"),0)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IFERROR(__xludf.DUMMYFUNCTION("IMPORTRANGE(""https://docs.google.com/spreadsheets/d/1QqKyyYR6Q21VydFLVH3TRQUabQu_ym0Zz7PgGX0-kHA/edit?usp=sharing"",""แผน!I62"")"),0)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IFERROR(__xludf.DUMMYFUNCTION("IMPORTRANGE(""https://docs.google.com/spreadsheets/d/1QqKyyYR6Q21VydFLVH3TRQUabQu_ym0Zz7PgGX0-kHA/edit?usp=sharing"",""แผน!F62"")"),0)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IFERROR(__xludf.DUMMYFUNCTION("IMPORTRANGE(""https://docs.google.com/spreadsheets/d/1QqKyyYR6Q21VydFLVH3TRQUabQu_ym0Zz7PgGX0-kHA/edit?usp=sharing"",""แผน!G62"")"),0)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IFERROR(__xludf.DUMMYFUNCTION("IMPORTRANGE(""https://docs.google.com/spreadsheets/d/1QqKyyYR6Q21VydFLVH3TRQUabQu_ym0Zz7PgGX0-kHA/edit?usp=sharing"",""แผน!D62"")"),0)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IFERROR(__xludf.DUMMYFUNCTION("IMPORTRANGE(""https://docs.google.com/spreadsheets/d/1QqKyyYR6Q21VydFLVH3TRQUabQu_ym0Zz7PgGX0-kHA/edit?usp=sharing"",""แผน!E62"")"),0)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IFERROR(__xludf.DUMMYFUNCTION("IMPORTRANGE(""https://docs.google.com/spreadsheets/d/1QqKyyYR6Q21VydFLVH3TRQUabQu_ym0Zz7PgGX0-kHA/edit?usp=sharing"",""แผน!J62"")"),0)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174200</v>
      </c>
      <c r="M88" s="154">
        <f t="shared" ca="1" si="49"/>
        <v>174200</v>
      </c>
      <c r="N88" s="154">
        <f t="shared" ca="1" si="49"/>
        <v>133051.13</v>
      </c>
      <c r="O88" s="154">
        <f t="shared" ref="O88:O96" ca="1" si="50">IF(L88&gt;0,N88*100/L88,0)</f>
        <v>76.378375430539606</v>
      </c>
      <c r="P88" s="154">
        <f t="shared" ref="P88:P96" ca="1" si="51">IF(M88&gt;0,N88*100/M88,0)</f>
        <v>76.378375430539606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174200</v>
      </c>
      <c r="M90" s="45">
        <f t="shared" ca="1" si="52"/>
        <v>174200</v>
      </c>
      <c r="N90" s="45">
        <f t="shared" ca="1" si="52"/>
        <v>133051.13</v>
      </c>
      <c r="O90" s="45">
        <f t="shared" ca="1" si="50"/>
        <v>76.378375430539606</v>
      </c>
      <c r="P90" s="45">
        <f t="shared" ca="1" si="51"/>
        <v>76.378375430539606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174200</v>
      </c>
      <c r="M91" s="38">
        <f t="shared" ca="1" si="53"/>
        <v>174200</v>
      </c>
      <c r="N91" s="38">
        <f t="shared" ca="1" si="53"/>
        <v>133051.13</v>
      </c>
      <c r="O91" s="38">
        <f t="shared" ca="1" si="50"/>
        <v>76.378375430539606</v>
      </c>
      <c r="P91" s="38">
        <f t="shared" ca="1" si="51"/>
        <v>76.378375430539606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IFERROR(__xludf.DUMMYFUNCTION("IMPORTRANGE(""https://docs.google.com/spreadsheets/d/1MeEWN-I1oV_STSDYn1IFDPWt_1FKiwhDph83XaGc0o0/edit?usp=sharing"",""งบพรบ!AQ62"")"),174200)</f>
        <v>174200</v>
      </c>
      <c r="M93" s="45">
        <f ca="1">IFERROR(__xludf.DUMMYFUNCTION("IMPORTRANGE(""https://docs.google.com/spreadsheets/d/1MeEWN-I1oV_STSDYn1IFDPWt_1FKiwhDph83XaGc0o0/edit?usp=sharing"",""งบพรบ!AV62"")"),174200)</f>
        <v>174200</v>
      </c>
      <c r="N93" s="45">
        <f ca="1">IFERROR(__xludf.DUMMYFUNCTION("IMPORTRANGE(""https://docs.google.com/spreadsheets/d/1MeEWN-I1oV_STSDYn1IFDPWt_1FKiwhDph83XaGc0o0/edit?usp=sharing"",""งบพรบ!AX62"")"),133051.13)</f>
        <v>133051.13</v>
      </c>
      <c r="O93" s="45">
        <f t="shared" ca="1" si="50"/>
        <v>76.378375430539606</v>
      </c>
      <c r="P93" s="45">
        <f t="shared" ca="1" si="51"/>
        <v>76.378375430539606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IFERROR(__xludf.DUMMYFUNCTION("IMPORTRANGE(""https://docs.google.com/spreadsheets/d/1MeEWN-I1oV_STSDYn1IFDPWt_1FKiwhDph83XaGc0o0/edit?usp=sharing"",""งบพรบ!AT62"")"),0)</f>
        <v>0</v>
      </c>
      <c r="M96" s="45">
        <f ca="1">IFERROR(__xludf.DUMMYFUNCTION("IMPORTRANGE(""https://docs.google.com/spreadsheets/d/1MeEWN-I1oV_STSDYn1IFDPWt_1FKiwhDph83XaGc0o0/edit?usp=sharing"",""งบพรบ!AW62"")"),0)</f>
        <v>0</v>
      </c>
      <c r="N96" s="45">
        <f ca="1">IFERROR(__xludf.DUMMYFUNCTION("IMPORTRANGE(""https://docs.google.com/spreadsheets/d/1MeEWN-I1oV_STSDYn1IFDPWt_1FKiwhDph83XaGc0o0/edit?usp=sharing"",""งบพรบ!AY62"")"),0)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IFERROR(__xludf.DUMMYFUNCTION("IMPORTRANGE(""https://docs.google.com/spreadsheets/d/1QqKyyYR6Q21VydFLVH3TRQUabQu_ym0Zz7PgGX0-kHA/edit?usp=sharing"",""แผน!K62"")"),0)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IFERROR(__xludf.DUMMYFUNCTION("IMPORTRANGE(""https://docs.google.com/spreadsheets/d/1QqKyyYR6Q21VydFLVH3TRQUabQu_ym0Zz7PgGX0-kHA/edit?usp=sharing"",""แผน!L62"")"),0)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IFERROR(__xludf.DUMMYFUNCTION("IMPORTRANGE(""https://docs.google.com/spreadsheets/d/1QqKyyYR6Q21VydFLVH3TRQUabQu_ym0Zz7PgGX0-kHA/edit?usp=sharing"",""แผน!M62"")"),1)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IFERROR(__xludf.DUMMYFUNCTION("IMPORTRANGE(""https://docs.google.com/spreadsheets/d/1QqKyyYR6Q21VydFLVH3TRQUabQu_ym0Zz7PgGX0-kHA/edit?usp=sharing"",""แผน!N62"")"),0)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IFERROR(__xludf.DUMMYFUNCTION("IMPORTRANGE(""https://docs.google.com/spreadsheets/d/1QqKyyYR6Q21VydFLVH3TRQUabQu_ym0Zz7PgGX0-kHA/edit?usp=sharing"",""แผน!O62"")"),0)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IFERROR(__xludf.DUMMYFUNCTION("IMPORTRANGE(""https://docs.google.com/spreadsheets/d/1QqKyyYR6Q21VydFLVH3TRQUabQu_ym0Zz7PgGX0-kHA/edit?usp=sharing"",""แผน!O62"")"),0)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IFERROR(__xludf.DUMMYFUNCTION("IMPORTRANGE(""https://docs.google.com/spreadsheets/d/1QqKyyYR6Q21VydFLVH3TRQUabQu_ym0Zz7PgGX0-kHA/edit?usp=sharing"",""แผน!P62"")"),0)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IFERROR(__xludf.DUMMYFUNCTION("IMPORTRANGE(""https://docs.google.com/spreadsheets/d/1QqKyyYR6Q21VydFLVH3TRQUabQu_ym0Zz7PgGX0-kHA/edit?usp=sharing"",""แผน!P62"")"),0)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IFERROR(__xludf.DUMMYFUNCTION("IMPORTRANGE(""https://docs.google.com/spreadsheets/d/1QqKyyYR6Q21VydFLVH3TRQUabQu_ym0Zz7PgGX0-kHA/edit?usp=sharing"",""แผน!Q62"")"),1)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IFERROR(__xludf.DUMMYFUNCTION("IMPORTRANGE(""https://docs.google.com/spreadsheets/d/1QqKyyYR6Q21VydFLVH3TRQUabQu_ym0Zz7PgGX0-kHA/edit?usp=sharing"",""แผน!Q62"")"),1)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IFERROR(__xludf.DUMMYFUNCTION("IMPORTRANGE(""https://docs.google.com/spreadsheets/d/1QqKyyYR6Q21VydFLVH3TRQUabQu_ym0Zz7PgGX0-kHA/edit?usp=sharing"",""แผน!R62"")"),0)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IFERROR(__xludf.DUMMYFUNCTION("IMPORTRANGE(""https://docs.google.com/spreadsheets/d/1QqKyyYR6Q21VydFLVH3TRQUabQu_ym0Zz7PgGX0-kHA/edit?usp=sharing"",""แผน!R62"")"),0)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IFERROR(__xludf.DUMMYFUNCTION("IMPORTRANGE(""https://docs.google.com/spreadsheets/d/1QqKyyYR6Q21VydFLVH3TRQUabQu_ym0Zz7PgGX0-kHA/edit?usp=sharing"",""แผน!R62"")"),0)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IFERROR(__xludf.DUMMYFUNCTION("IMPORTRANGE(""https://docs.google.com/spreadsheets/d/1QqKyyYR6Q21VydFLVH3TRQUabQu_ym0Zz7PgGX0-kHA/edit?usp=sharing"",""แผน!S62"")"),0)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IFERROR(__xludf.DUMMYFUNCTION("IMPORTRANGE(""https://docs.google.com/spreadsheets/d/1QqKyyYR6Q21VydFLVH3TRQUabQu_ym0Zz7PgGX0-kHA/edit?usp=sharing"",""แผน!T62"")"),1)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IFERROR(__xludf.DUMMYFUNCTION("IMPORTRANGE(""https://docs.google.com/spreadsheets/d/1MeEWN-I1oV_STSDYn1IFDPWt_1FKiwhDph83XaGc0o0/edit?usp=sharing"",""งบพรบ!BA62"")"),0)</f>
        <v>0</v>
      </c>
      <c r="M124" s="45">
        <f ca="1">IFERROR(__xludf.DUMMYFUNCTION("IMPORTRANGE(""https://docs.google.com/spreadsheets/d/1MeEWN-I1oV_STSDYn1IFDPWt_1FKiwhDph83XaGc0o0/edit?usp=sharing"",""งบพรบ!BF62"")"),0)</f>
        <v>0</v>
      </c>
      <c r="N124" s="45">
        <f ca="1">IFERROR(__xludf.DUMMYFUNCTION("IMPORTRANGE(""https://docs.google.com/spreadsheets/d/1MeEWN-I1oV_STSDYn1IFDPWt_1FKiwhDph83XaGc0o0/edit?usp=sharing"",""งบพรบ!BH62"")"),0)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IFERROR(__xludf.DUMMYFUNCTION("IMPORTRANGE(""https://docs.google.com/spreadsheets/d/1MeEWN-I1oV_STSDYn1IFDPWt_1FKiwhDph83XaGc0o0/edit?usp=sharing"",""งบพรบ!BD62"")"),0)</f>
        <v>0</v>
      </c>
      <c r="M127" s="45">
        <f ca="1">IFERROR(__xludf.DUMMYFUNCTION("IMPORTRANGE(""https://docs.google.com/spreadsheets/d/1MeEWN-I1oV_STSDYn1IFDPWt_1FKiwhDph83XaGc0o0/edit?usp=sharing"",""งบพรบ!BG62"")"),0)</f>
        <v>0</v>
      </c>
      <c r="N127" s="45">
        <f ca="1">IFERROR(__xludf.DUMMYFUNCTION("IMPORTRANGE(""https://docs.google.com/spreadsheets/d/1MeEWN-I1oV_STSDYn1IFDPWt_1FKiwhDph83XaGc0o0/edit?usp=sharing"",""งบพรบ!BI62"")"),0)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IFERROR(__xludf.DUMMYFUNCTION("IMPORTRANGE(""https://docs.google.com/spreadsheets/d/1MeEWN-I1oV_STSDYn1IFDPWt_1FKiwhDph83XaGc0o0/edit?usp=sharing"",""งบพรบ!BK62"")"),0)</f>
        <v>0</v>
      </c>
      <c r="M137" s="45">
        <f ca="1">IFERROR(__xludf.DUMMYFUNCTION("IMPORTRANGE(""https://docs.google.com/spreadsheets/d/1MeEWN-I1oV_STSDYn1IFDPWt_1FKiwhDph83XaGc0o0/edit?usp=sharing"",""งบพรบ!BP62"")"),0)</f>
        <v>0</v>
      </c>
      <c r="N137" s="45">
        <f ca="1">IFERROR(__xludf.DUMMYFUNCTION("IMPORTRANGE(""https://docs.google.com/spreadsheets/d/1MeEWN-I1oV_STSDYn1IFDPWt_1FKiwhDph83XaGc0o0/edit?usp=sharing"",""งบพรบ!BR62"")"),0)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IFERROR(__xludf.DUMMYFUNCTION("IMPORTRANGE(""https://docs.google.com/spreadsheets/d/1MeEWN-I1oV_STSDYn1IFDPWt_1FKiwhDph83XaGc0o0/edit?usp=sharing"",""งบพรบ!BN62"")"),0)</f>
        <v>0</v>
      </c>
      <c r="M140" s="45">
        <f ca="1">IFERROR(__xludf.DUMMYFUNCTION("IMPORTRANGE(""https://docs.google.com/spreadsheets/d/1MeEWN-I1oV_STSDYn1IFDPWt_1FKiwhDph83XaGc0o0/edit?usp=sharing"",""งบพรบ!BQ62"")"),0)</f>
        <v>0</v>
      </c>
      <c r="N140" s="45">
        <f ca="1">IFERROR(__xludf.DUMMYFUNCTION("IMPORTRANGE(""https://docs.google.com/spreadsheets/d/1MeEWN-I1oV_STSDYn1IFDPWt_1FKiwhDph83XaGc0o0/edit?usp=sharing"",""งบพรบ!BS62"")"),0)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IFERROR(__xludf.DUMMYFUNCTION("IMPORTRANGE(""https://docs.google.com/spreadsheets/d/1QqKyyYR6Q21VydFLVH3TRQUabQu_ym0Zz7PgGX0-kHA/edit?usp=sharing"",""แผน!U62"")"),0)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IFERROR(__xludf.DUMMYFUNCTION("IMPORTRANGE(""https://docs.google.com/spreadsheets/d/1QqKyyYR6Q21VydFLVH3TRQUabQu_ym0Zz7PgGX0-kHA/edit?usp=sharing"",""แผน!V62"")"),0)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IFERROR(__xludf.DUMMYFUNCTION("IMPORTRANGE(""https://docs.google.com/spreadsheets/d/1QqKyyYR6Q21VydFLVH3TRQUabQu_ym0Zz7PgGX0-kHA/edit?usp=sharing"",""แผน!W62"")"),0)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21</v>
      </c>
      <c r="K148" s="144">
        <f ca="1">IF(I148&gt;0,J148*100/I148,0)</f>
        <v>105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10000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10000</v>
      </c>
      <c r="O151" s="45">
        <f t="shared" ca="1" si="78"/>
        <v>100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10000</v>
      </c>
      <c r="O152" s="38">
        <f t="shared" ca="1" si="78"/>
        <v>100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IFERROR(__xludf.DUMMYFUNCTION("IMPORTRANGE(""https://docs.google.com/spreadsheets/d/1MeEWN-I1oV_STSDYn1IFDPWt_1FKiwhDph83XaGc0o0/edit?usp=sharing"",""งบพรบ!BU62"")"),10000)</f>
        <v>10000</v>
      </c>
      <c r="M154" s="45">
        <f ca="1">IFERROR(__xludf.DUMMYFUNCTION("IMPORTRANGE(""https://docs.google.com/spreadsheets/d/1MeEWN-I1oV_STSDYn1IFDPWt_1FKiwhDph83XaGc0o0/edit?usp=sharing"",""งบพรบ!BZ62"")"),10000)</f>
        <v>10000</v>
      </c>
      <c r="N154" s="45">
        <f ca="1">IFERROR(__xludf.DUMMYFUNCTION("IMPORTRANGE(""https://docs.google.com/spreadsheets/d/1MeEWN-I1oV_STSDYn1IFDPWt_1FKiwhDph83XaGc0o0/edit?usp=sharing"",""งบพรบ!CB62"")"),10000)</f>
        <v>10000</v>
      </c>
      <c r="O154" s="45">
        <f t="shared" ca="1" si="78"/>
        <v>100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IFERROR(__xludf.DUMMYFUNCTION("IMPORTRANGE(""https://docs.google.com/spreadsheets/d/1MeEWN-I1oV_STSDYn1IFDPWt_1FKiwhDph83XaGc0o0/edit?usp=sharing"",""งบพรบ!BX62"")"),0)</f>
        <v>0</v>
      </c>
      <c r="M157" s="45">
        <f ca="1">IFERROR(__xludf.DUMMYFUNCTION("IMPORTRANGE(""https://docs.google.com/spreadsheets/d/1MeEWN-I1oV_STSDYn1IFDPWt_1FKiwhDph83XaGc0o0/edit?usp=sharing"",""งบพรบ!CA62"")"),0)</f>
        <v>0</v>
      </c>
      <c r="N157" s="45">
        <f ca="1">IFERROR(__xludf.DUMMYFUNCTION("IMPORTRANGE(""https://docs.google.com/spreadsheets/d/1MeEWN-I1oV_STSDYn1IFDPWt_1FKiwhDph83XaGc0o0/edit?usp=sharing"",""งบพรบ!CC62"")"),0)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IFERROR(__xludf.DUMMYFUNCTION("IMPORTRANGE(""https://docs.google.com/spreadsheets/d/1QqKyyYR6Q21VydFLVH3TRQUabQu_ym0Zz7PgGX0-kHA/edit?usp=sharing"",""แผน!X62"")"),20)</f>
        <v>20</v>
      </c>
      <c r="J159" s="181">
        <v>21</v>
      </c>
      <c r="K159" s="38">
        <f ca="1">IF(I159&gt;0,J159*100/I159,0)</f>
        <v>105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32220</v>
      </c>
      <c r="N165" s="154">
        <f t="shared" ca="1" si="84"/>
        <v>32220</v>
      </c>
      <c r="O165" s="154">
        <f t="shared" ref="O165:O173" ca="1" si="85">IF(L165&gt;0,N165*100/L165,0)</f>
        <v>153.06413301662707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32220</v>
      </c>
      <c r="N167" s="45">
        <f t="shared" ca="1" si="87"/>
        <v>32220</v>
      </c>
      <c r="O167" s="45">
        <f t="shared" ca="1" si="85"/>
        <v>153.06413301662707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32220</v>
      </c>
      <c r="N168" s="38">
        <f t="shared" ca="1" si="88"/>
        <v>32220</v>
      </c>
      <c r="O168" s="38">
        <f t="shared" ca="1" si="85"/>
        <v>153.06413301662707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IFERROR(__xludf.DUMMYFUNCTION("IMPORTRANGE(""https://docs.google.com/spreadsheets/d/1MeEWN-I1oV_STSDYn1IFDPWt_1FKiwhDph83XaGc0o0/edit?usp=sharing"",""งบพรบ!CE62"")"),21050)</f>
        <v>21050</v>
      </c>
      <c r="M170" s="45">
        <f ca="1">IFERROR(__xludf.DUMMYFUNCTION("IMPORTRANGE(""https://docs.google.com/spreadsheets/d/1MeEWN-I1oV_STSDYn1IFDPWt_1FKiwhDph83XaGc0o0/edit?usp=sharing"",""งบพรบ!CJ62"")"),32220)</f>
        <v>32220</v>
      </c>
      <c r="N170" s="45">
        <f ca="1">IFERROR(__xludf.DUMMYFUNCTION("IMPORTRANGE(""https://docs.google.com/spreadsheets/d/1MeEWN-I1oV_STSDYn1IFDPWt_1FKiwhDph83XaGc0o0/edit?usp=sharing"",""งบพรบ!CL62"")"),32220)</f>
        <v>32220</v>
      </c>
      <c r="O170" s="45">
        <f t="shared" ca="1" si="85"/>
        <v>153.06413301662707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IFERROR(__xludf.DUMMYFUNCTION("IMPORTRANGE(""https://docs.google.com/spreadsheets/d/1MeEWN-I1oV_STSDYn1IFDPWt_1FKiwhDph83XaGc0o0/edit?usp=sharing"",""งบพรบ!CH62"")"),0)</f>
        <v>0</v>
      </c>
      <c r="M173" s="45">
        <f ca="1">IFERROR(__xludf.DUMMYFUNCTION("IMPORTRANGE(""https://docs.google.com/spreadsheets/d/1MeEWN-I1oV_STSDYn1IFDPWt_1FKiwhDph83XaGc0o0/edit?usp=sharing"",""งบพรบ!CK62"")"),0)</f>
        <v>0</v>
      </c>
      <c r="N173" s="45">
        <f ca="1">IFERROR(__xludf.DUMMYFUNCTION("IMPORTRANGE(""https://docs.google.com/spreadsheets/d/1MeEWN-I1oV_STSDYn1IFDPWt_1FKiwhDph83XaGc0o0/edit?usp=sharing"",""งบพรบ!CM62"")"),0)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IFERROR(__xludf.DUMMYFUNCTION("IMPORTRANGE(""https://docs.google.com/spreadsheets/d/1QqKyyYR6Q21VydFLVH3TRQUabQu_ym0Zz7PgGX0-kHA/edit?usp=sharing"",""แผน!Y62"")"),10)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193000</v>
      </c>
      <c r="M181" s="154">
        <f t="shared" ca="1" si="92"/>
        <v>193000</v>
      </c>
      <c r="N181" s="154">
        <f t="shared" ca="1" si="92"/>
        <v>170700.34</v>
      </c>
      <c r="O181" s="154">
        <f t="shared" ref="O181:O189" ca="1" si="93">IF(L181&gt;0,N181*100/L181,0)</f>
        <v>88.445772020725386</v>
      </c>
      <c r="P181" s="154">
        <f t="shared" ref="P181:P189" ca="1" si="94">IF(M181&gt;0,N181*100/M181,0)</f>
        <v>88.445772020725386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193000</v>
      </c>
      <c r="M183" s="45">
        <f t="shared" ca="1" si="95"/>
        <v>193000</v>
      </c>
      <c r="N183" s="45">
        <f t="shared" ca="1" si="95"/>
        <v>170700.34</v>
      </c>
      <c r="O183" s="45">
        <f t="shared" ca="1" si="93"/>
        <v>88.445772020725386</v>
      </c>
      <c r="P183" s="45">
        <f t="shared" ca="1" si="94"/>
        <v>88.445772020725386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193000</v>
      </c>
      <c r="M184" s="38">
        <f t="shared" ca="1" si="96"/>
        <v>193000</v>
      </c>
      <c r="N184" s="38">
        <f t="shared" ca="1" si="96"/>
        <v>170700.34</v>
      </c>
      <c r="O184" s="38">
        <f t="shared" ca="1" si="93"/>
        <v>88.445772020725386</v>
      </c>
      <c r="P184" s="38">
        <f t="shared" ca="1" si="94"/>
        <v>88.445772020725386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IFERROR(__xludf.DUMMYFUNCTION("IMPORTRANGE(""https://docs.google.com/spreadsheets/d/1MeEWN-I1oV_STSDYn1IFDPWt_1FKiwhDph83XaGc0o0/edit?usp=sharing"",""งบพรบ!CO62"")"),193000)</f>
        <v>193000</v>
      </c>
      <c r="M186" s="45">
        <f ca="1">IFERROR(__xludf.DUMMYFUNCTION("IMPORTRANGE(""https://docs.google.com/spreadsheets/d/1MeEWN-I1oV_STSDYn1IFDPWt_1FKiwhDph83XaGc0o0/edit?usp=sharing"",""งบพรบ!CT62"")"),193000)</f>
        <v>193000</v>
      </c>
      <c r="N186" s="45">
        <f ca="1">IFERROR(__xludf.DUMMYFUNCTION("IMPORTRANGE(""https://docs.google.com/spreadsheets/d/1MeEWN-I1oV_STSDYn1IFDPWt_1FKiwhDph83XaGc0o0/edit?usp=sharing"",""งบพรบ!CV62"")"),170700.34)</f>
        <v>170700.34</v>
      </c>
      <c r="O186" s="45">
        <f t="shared" ca="1" si="93"/>
        <v>88.445772020725386</v>
      </c>
      <c r="P186" s="45">
        <f t="shared" ca="1" si="94"/>
        <v>88.445772020725386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IFERROR(__xludf.DUMMYFUNCTION("IMPORTRANGE(""https://docs.google.com/spreadsheets/d/1MeEWN-I1oV_STSDYn1IFDPWt_1FKiwhDph83XaGc0o0/edit?usp=sharing"",""งบพรบ!CR62"")"),0)</f>
        <v>0</v>
      </c>
      <c r="M189" s="45">
        <f ca="1">IFERROR(__xludf.DUMMYFUNCTION("IMPORTRANGE(""https://docs.google.com/spreadsheets/d/1MeEWN-I1oV_STSDYn1IFDPWt_1FKiwhDph83XaGc0o0/edit?usp=sharing"",""งบพรบ!CU62"")"),0)</f>
        <v>0</v>
      </c>
      <c r="N189" s="45">
        <f ca="1">IFERROR(__xludf.DUMMYFUNCTION("IMPORTRANGE(""https://docs.google.com/spreadsheets/d/1MeEWN-I1oV_STSDYn1IFDPWt_1FKiwhDph83XaGc0o0/edit?usp=sharing"",""งบพรบ!CW62"")"),0)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IFERROR(__xludf.DUMMYFUNCTION("IMPORTRANGE(""https://docs.google.com/spreadsheets/d/1QqKyyYR6Q21VydFLVH3TRQUabQu_ym0Zz7PgGX0-kHA/edit?usp=sharing"",""แผน!Z62"")"),6000)</f>
        <v>6000</v>
      </c>
      <c r="M191" s="154"/>
      <c r="N191" s="264">
        <v>3810</v>
      </c>
      <c r="O191" s="154">
        <f ca="1">IF(L191&gt;0,N191*100/L191,0)</f>
        <v>63.5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IFERROR(__xludf.DUMMYFUNCTION("IMPORTRANGE(""https://docs.google.com/spreadsheets/d/1QqKyyYR6Q21VydFLVH3TRQUabQu_ym0Zz7PgGX0-kHA/edit?usp=sharing"",""แผน!AC62"")"),4)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153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153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17135</v>
      </c>
      <c r="O198" s="154">
        <f ca="1">IF(L198&gt;0,N198*100/L198,0)</f>
        <v>65.90384615384616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IFERROR(__xludf.DUMMYFUNCTION("IMPORTRANGE(""https://docs.google.com/spreadsheets/d/1QqKyyYR6Q21VydFLVH3TRQUabQu_ym0Zz7PgGX0-kHA/edit?usp=sharing"",""แผน!AE62"")"),2000)</f>
        <v>2000</v>
      </c>
      <c r="M199" s="38"/>
      <c r="N199" s="271">
        <v>1135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IFERROR(__xludf.DUMMYFUNCTION("IMPORTRANGE(""https://docs.google.com/spreadsheets/d/1QqKyyYR6Q21VydFLVH3TRQUabQu_ym0Zz7PgGX0-kHA/edit?usp=sharing"",""แผน!AF62"")"),16000)</f>
        <v>16000</v>
      </c>
      <c r="M200" s="38"/>
      <c r="N200" s="271">
        <v>16000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IFERROR(__xludf.DUMMYFUNCTION("IMPORTRANGE(""https://docs.google.com/spreadsheets/d/1QqKyyYR6Q21VydFLVH3TRQUabQu_ym0Zz7PgGX0-kHA/edit?usp=sharing"",""แผน!AG62"")"),8000)</f>
        <v>8000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IFERROR(__xludf.DUMMYFUNCTION("IMPORTRANGE(""https://docs.google.com/spreadsheets/d/1QqKyyYR6Q21VydFLVH3TRQUabQu_ym0Zz7PgGX0-kHA/edit?usp=sharing"",""แผน!AH62"")"),0)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IFERROR(__xludf.DUMMYFUNCTION("IMPORTRANGE(""https://docs.google.com/spreadsheets/d/1QqKyyYR6Q21VydFLVH3TRQUabQu_ym0Zz7PgGX0-kHA/edit?usp=sharing"",""แผน!AI62"")"),2)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2</v>
      </c>
      <c r="J206" s="181"/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IFERROR(__xludf.DUMMYFUNCTION("IMPORTRANGE(""https://docs.google.com/spreadsheets/d/1QqKyyYR6Q21VydFLVH3TRQUabQu_ym0Zz7PgGX0-kHA/edit?usp=sharing"",""แผน!AK62"")"),0)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IFERROR(__xludf.DUMMYFUNCTION("IMPORTRANGE(""https://docs.google.com/spreadsheets/d/1QqKyyYR6Q21VydFLVH3TRQUabQu_ym0Zz7PgGX0-kHA/edit?usp=sharing"",""แผน!AL62"")"),0)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IFERROR(__xludf.DUMMYFUNCTION("IMPORTRANGE(""https://docs.google.com/spreadsheets/d/1QqKyyYR6Q21VydFLVH3TRQUabQu_ym0Zz7PgGX0-kHA/edit?usp=sharing"",""แผน!AM62"")"),0)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5450</v>
      </c>
      <c r="O217" s="154">
        <f ca="1">IF(L217&gt;0,N217*100/L217,0)</f>
        <v>68.125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IFERROR(__xludf.DUMMYFUNCTION("IMPORTRANGE(""https://docs.google.com/spreadsheets/d/1QqKyyYR6Q21VydFLVH3TRQUabQu_ym0Zz7PgGX0-kHA/edit?usp=sharing"",""แผน!AP62"")"),3000)</f>
        <v>3000</v>
      </c>
      <c r="M218" s="38"/>
      <c r="N218" s="271">
        <v>450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IFERROR(__xludf.DUMMYFUNCTION("IMPORTRANGE(""https://docs.google.com/spreadsheets/d/1QqKyyYR6Q21VydFLVH3TRQUabQu_ym0Zz7PgGX0-kHA/edit?usp=sharing"",""แผน!AQ62"")"),5000)</f>
        <v>5000</v>
      </c>
      <c r="M219" s="38"/>
      <c r="N219" s="271">
        <v>5000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IFERROR(__xludf.DUMMYFUNCTION("IMPORTRANGE(""https://docs.google.com/spreadsheets/d/1QqKyyYR6Q21VydFLVH3TRQUabQu_ym0Zz7PgGX0-kHA/edit?usp=sharing"",""แผน!AR62"")"),0)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IFERROR(__xludf.DUMMYFUNCTION("IMPORTRANGE(""https://docs.google.com/spreadsheets/d/1QqKyyYR6Q21VydFLVH3TRQUabQu_ym0Zz7PgGX0-kHA/edit?usp=sharing"",""แผน!AT62"")"),20000)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IFERROR(__xludf.DUMMYFUNCTION("IMPORTRANGE(""https://docs.google.com/spreadsheets/d/1QqKyyYR6Q21VydFLVH3TRQUabQu_ym0Zz7PgGX0-kHA/edit?usp=sharing"",""แผน!AT62"")"),20000)</f>
        <v>20000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IFERROR(__xludf.DUMMYFUNCTION("IMPORTRANGE(""https://docs.google.com/spreadsheets/d/1QqKyyYR6Q21VydFLVH3TRQUabQu_ym0Zz7PgGX0-kHA/edit?usp=sharing"",""แผน!AS62"")"),0)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IFERROR(__xludf.DUMMYFUNCTION("IMPORTRANGE(""https://docs.google.com/spreadsheets/d/1QqKyyYR6Q21VydFLVH3TRQUabQu_ym0Zz7PgGX0-kHA/edit?usp=sharing"",""แผน!AV62"")"),0)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IFERROR(__xludf.DUMMYFUNCTION("IMPORTRANGE(""https://docs.google.com/spreadsheets/d/1QqKyyYR6Q21VydFLVH3TRQUabQu_ym0Zz7PgGX0-kHA/edit?usp=sharing"",""แผน!AW62"")"),0)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IFERROR(__xludf.DUMMYFUNCTION("IMPORTRANGE(""https://docs.google.com/spreadsheets/d/1QqKyyYR6Q21VydFLVH3TRQUabQu_ym0Zz7PgGX0-kHA/edit?usp=sharing"",""แผน!AX62"")"),0)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IFERROR(__xludf.DUMMYFUNCTION("IMPORTRANGE(""https://docs.google.com/spreadsheets/d/1QqKyyYR6Q21VydFLVH3TRQUabQu_ym0Zz7PgGX0-kHA/edit?usp=sharing"",""แผน!AY62"")"),0)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IFERROR(__xludf.DUMMYFUNCTION("IMPORTRANGE(""https://docs.google.com/spreadsheets/d/1QqKyyYR6Q21VydFLVH3TRQUabQu_ym0Zz7PgGX0-kHA/edit?usp=sharing"",""แผน!AZ62"")"),0)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IFERROR(__xludf.DUMMYFUNCTION("IMPORTRANGE(""https://docs.google.com/spreadsheets/d/1QqKyyYR6Q21VydFLVH3TRQUabQu_ym0Zz7PgGX0-kHA/edit?usp=sharing"",""แผน!BA62"")"),0)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IFERROR(__xludf.DUMMYFUNCTION("IMPORTRANGE(""https://docs.google.com/spreadsheets/d/1QqKyyYR6Q21VydFLVH3TRQUabQu_ym0Zz7PgGX0-kHA/edit?usp=sharing"",""แผน!BB62"")"),0)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IFERROR(__xludf.DUMMYFUNCTION("IMPORTRANGE(""https://docs.google.com/spreadsheets/d/1QqKyyYR6Q21VydFLVH3TRQUabQu_ym0Zz7PgGX0-kHA/edit?usp=sharing"",""แผน!BC62"")"),0)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22195</v>
      </c>
      <c r="O261" s="154">
        <f t="shared" ref="O261:O269" ca="1" si="117">IF(L261&gt;0,N261*100/L261,0)</f>
        <v>82.509293680297404</v>
      </c>
      <c r="P261" s="154">
        <f t="shared" ref="P261:P269" ca="1" si="118">IF(M261&gt;0,N261*100/M261,0)</f>
        <v>82.509293680297404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22195</v>
      </c>
      <c r="O263" s="45">
        <f t="shared" ca="1" si="117"/>
        <v>82.509293680297404</v>
      </c>
      <c r="P263" s="45">
        <f t="shared" ca="1" si="118"/>
        <v>82.509293680297404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22195</v>
      </c>
      <c r="O264" s="38">
        <f t="shared" ca="1" si="117"/>
        <v>82.509293680297404</v>
      </c>
      <c r="P264" s="38">
        <f t="shared" ca="1" si="118"/>
        <v>82.509293680297404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IFERROR(__xludf.DUMMYFUNCTION("IMPORTRANGE(""https://docs.google.com/spreadsheets/d/1MeEWN-I1oV_STSDYn1IFDPWt_1FKiwhDph83XaGc0o0/edit?usp=sharing"",""งบพรบ!CY62"")"),26900)</f>
        <v>26900</v>
      </c>
      <c r="M266" s="45">
        <f ca="1">IFERROR(__xludf.DUMMYFUNCTION("IMPORTRANGE(""https://docs.google.com/spreadsheets/d/1MeEWN-I1oV_STSDYn1IFDPWt_1FKiwhDph83XaGc0o0/edit?usp=sharing"",""งบพรบ!DD62"")"),26900)</f>
        <v>26900</v>
      </c>
      <c r="N266" s="45">
        <f ca="1">IFERROR(__xludf.DUMMYFUNCTION("IMPORTRANGE(""https://docs.google.com/spreadsheets/d/1MeEWN-I1oV_STSDYn1IFDPWt_1FKiwhDph83XaGc0o0/edit?usp=sharing"",""งบพรบ!DF62"")"),22195)</f>
        <v>22195</v>
      </c>
      <c r="O266" s="45">
        <f t="shared" ca="1" si="117"/>
        <v>82.509293680297404</v>
      </c>
      <c r="P266" s="45">
        <f t="shared" ca="1" si="118"/>
        <v>82.509293680297404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IFERROR(__xludf.DUMMYFUNCTION("IMPORTRANGE(""https://docs.google.com/spreadsheets/d/1MeEWN-I1oV_STSDYn1IFDPWt_1FKiwhDph83XaGc0o0/edit?usp=sharing"",""งบพรบ!DB62"")"),0)</f>
        <v>0</v>
      </c>
      <c r="M269" s="45">
        <f ca="1">IFERROR(__xludf.DUMMYFUNCTION("IMPORTRANGE(""https://docs.google.com/spreadsheets/d/1MeEWN-I1oV_STSDYn1IFDPWt_1FKiwhDph83XaGc0o0/edit?usp=sharing"",""งบพรบ!DE62"")"),0)</f>
        <v>0</v>
      </c>
      <c r="N269" s="45">
        <f ca="1">IFERROR(__xludf.DUMMYFUNCTION("IMPORTRANGE(""https://docs.google.com/spreadsheets/d/1MeEWN-I1oV_STSDYn1IFDPWt_1FKiwhDph83XaGc0o0/edit?usp=sharing"",""งบพรบ!DG62"")"),0)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IFERROR(__xludf.DUMMYFUNCTION("IMPORTRANGE(""https://docs.google.com/spreadsheets/d/1QqKyyYR6Q21VydFLVH3TRQUabQu_ym0Zz7PgGX0-kHA/edit?usp=sharing"",""แผน!EA62"")"),22)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IFERROR(__xludf.DUMMYFUNCTION("IMPORTRANGE(""https://docs.google.com/spreadsheets/d/1MeEWN-I1oV_STSDYn1IFDPWt_1FKiwhDph83XaGc0o0/edit?usp=sharing"",""งบพรบ!DI62"")"),0)</f>
        <v>0</v>
      </c>
      <c r="M282" s="45">
        <f ca="1">IFERROR(__xludf.DUMMYFUNCTION("IMPORTRANGE(""https://docs.google.com/spreadsheets/d/1MeEWN-I1oV_STSDYn1IFDPWt_1FKiwhDph83XaGc0o0/edit?usp=sharing"",""งบพรบ!DN62"")"),0)</f>
        <v>0</v>
      </c>
      <c r="N282" s="45">
        <f ca="1">IFERROR(__xludf.DUMMYFUNCTION("IMPORTRANGE(""https://docs.google.com/spreadsheets/d/1MeEWN-I1oV_STSDYn1IFDPWt_1FKiwhDph83XaGc0o0/edit?usp=sharing"",""งบพรบ!DP62"")"),0)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IFERROR(__xludf.DUMMYFUNCTION("IMPORTRANGE(""https://docs.google.com/spreadsheets/d/1MeEWN-I1oV_STSDYn1IFDPWt_1FKiwhDph83XaGc0o0/edit?usp=sharing"",""งบพรบ!DL62"")"),0)</f>
        <v>0</v>
      </c>
      <c r="M285" s="45">
        <f ca="1">IFERROR(__xludf.DUMMYFUNCTION("IMPORTRANGE(""https://docs.google.com/spreadsheets/d/1MeEWN-I1oV_STSDYn1IFDPWt_1FKiwhDph83XaGc0o0/edit?usp=sharing"",""งบพรบ!DO62"")"),0)</f>
        <v>0</v>
      </c>
      <c r="N285" s="45">
        <f ca="1">IFERROR(__xludf.DUMMYFUNCTION("IMPORTRANGE(""https://docs.google.com/spreadsheets/d/1MeEWN-I1oV_STSDYn1IFDPWt_1FKiwhDph83XaGc0o0/edit?usp=sharing"",""งบพรบ!DQ62"")"),0)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IFERROR(__xludf.DUMMYFUNCTION("IMPORTRANGE(""https://docs.google.com/spreadsheets/d/1QqKyyYR6Q21VydFLVH3TRQUabQu_ym0Zz7PgGX0-kHA/edit?usp=sharing"",""แผน!EC62"")"),0)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IFERROR(__xludf.DUMMYFUNCTION("IMPORTRANGE(""https://docs.google.com/spreadsheets/d/1QqKyyYR6Q21VydFLVH3TRQUabQu_ym0Zz7PgGX0-kHA/edit?usp=sharing"",""แผน!EB62"")"),0)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IFERROR(__xludf.DUMMYFUNCTION("IMPORTRANGE(""https://docs.google.com/spreadsheets/d/1QqKyyYR6Q21VydFLVH3TRQUabQu_ym0Zz7PgGX0-kHA/edit?usp=sharing"",""แผน!EB62"")"),0)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IFERROR(__xludf.DUMMYFUNCTION("IMPORTRANGE(""https://docs.google.com/spreadsheets/d/1QqKyyYR6Q21VydFLVH3TRQUabQu_ym0Zz7PgGX0-kHA/edit?usp=sharing"",""แผน!EB62"")"),0)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IFERROR(__xludf.DUMMYFUNCTION("IMPORTRANGE(""https://docs.google.com/spreadsheets/d/1QqKyyYR6Q21VydFLVH3TRQUabQu_ym0Zz7PgGX0-kHA/edit?usp=sharing"",""แผน!EB62"")"),0)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IFERROR(__xludf.DUMMYFUNCTION("IMPORTRANGE(""https://docs.google.com/spreadsheets/d/1QqKyyYR6Q21VydFLVH3TRQUabQu_ym0Zz7PgGX0-kHA/edit?usp=sharing"",""แผน!EB62"")"),0)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 hidden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IFERROR(__xludf.DUMMYFUNCTION("IMPORTRANGE(""https://docs.google.com/spreadsheets/d/1MeEWN-I1oV_STSDYn1IFDPWt_1FKiwhDph83XaGc0o0/edit?usp=sharing"",""งบพรบ!DS62"")"),0)</f>
        <v>0</v>
      </c>
      <c r="M303" s="45">
        <f ca="1">IFERROR(__xludf.DUMMYFUNCTION("IMPORTRANGE(""https://docs.google.com/spreadsheets/d/1MeEWN-I1oV_STSDYn1IFDPWt_1FKiwhDph83XaGc0o0/edit?usp=sharing"",""งบพรบ!DX62"")"),0)</f>
        <v>0</v>
      </c>
      <c r="N303" s="45">
        <f ca="1">IFERROR(__xludf.DUMMYFUNCTION("IMPORTRANGE(""https://docs.google.com/spreadsheets/d/1MeEWN-I1oV_STSDYn1IFDPWt_1FKiwhDph83XaGc0o0/edit?usp=sharing"",""งบพรบ!DZ62"")"),0)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IFERROR(__xludf.DUMMYFUNCTION("IMPORTRANGE(""https://docs.google.com/spreadsheets/d/1MeEWN-I1oV_STSDYn1IFDPWt_1FKiwhDph83XaGc0o0/edit?usp=sharing"",""งบพรบ!DV62"")"),0)</f>
        <v>0</v>
      </c>
      <c r="M306" s="45">
        <f ca="1">IFERROR(__xludf.DUMMYFUNCTION("IMPORTRANGE(""https://docs.google.com/spreadsheets/d/1MeEWN-I1oV_STSDYn1IFDPWt_1FKiwhDph83XaGc0o0/edit?usp=sharing"",""งบพรบ!DY62"")"),0)</f>
        <v>0</v>
      </c>
      <c r="N306" s="45">
        <f ca="1">IFERROR(__xludf.DUMMYFUNCTION("IMPORTRANGE(""https://docs.google.com/spreadsheets/d/1MeEWN-I1oV_STSDYn1IFDPWt_1FKiwhDph83XaGc0o0/edit?usp=sharing"",""งบพรบ!EA62"")"),0)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IFERROR(__xludf.DUMMYFUNCTION("IMPORTRANGE(""https://docs.google.com/spreadsheets/d/1QqKyyYR6Q21VydFLVH3TRQUabQu_ym0Zz7PgGX0-kHA/edit?usp=sharing"",""แผน!ED62"")"),0)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IFERROR(__xludf.DUMMYFUNCTION("IMPORTRANGE(""https://docs.google.com/spreadsheets/d/1QqKyyYR6Q21VydFLVH3TRQUabQu_ym0Zz7PgGX0-kHA/edit?usp=sharing"",""แผน!ED62"")"),0)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IFERROR(__xludf.DUMMYFUNCTION("IMPORTRANGE(""https://docs.google.com/spreadsheets/d/1QqKyyYR6Q21VydFLVH3TRQUabQu_ym0Zz7PgGX0-kHA/edit?usp=sharing"",""แผน!ED62"")"),0)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IFERROR(__xludf.DUMMYFUNCTION("IMPORTRANGE(""https://docs.google.com/spreadsheets/d/1QqKyyYR6Q21VydFLVH3TRQUabQu_ym0Zz7PgGX0-kHA/edit?usp=sharing"",""แผน!EE62"")"),0)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IFERROR(__xludf.DUMMYFUNCTION("IMPORTRANGE(""https://docs.google.com/spreadsheets/d/1MeEWN-I1oV_STSDYn1IFDPWt_1FKiwhDph83XaGc0o0/edit?usp=sharing"",""งบพรบ!EC62"")"),0)</f>
        <v>0</v>
      </c>
      <c r="M320" s="45">
        <f ca="1">IFERROR(__xludf.DUMMYFUNCTION("IMPORTRANGE(""https://docs.google.com/spreadsheets/d/1MeEWN-I1oV_STSDYn1IFDPWt_1FKiwhDph83XaGc0o0/edit?usp=sharing"",""งบพรบ!EH62"")"),0)</f>
        <v>0</v>
      </c>
      <c r="N320" s="45">
        <f ca="1">IFERROR(__xludf.DUMMYFUNCTION("IMPORTRANGE(""https://docs.google.com/spreadsheets/d/1MeEWN-I1oV_STSDYn1IFDPWt_1FKiwhDph83XaGc0o0/edit?usp=sharing"",""งบพรบ!EJ62"")"),0)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IFERROR(__xludf.DUMMYFUNCTION("IMPORTRANGE(""https://docs.google.com/spreadsheets/d/1MeEWN-I1oV_STSDYn1IFDPWt_1FKiwhDph83XaGc0o0/edit?usp=sharing"",""งบพรบ!EF62"")"),0)</f>
        <v>0</v>
      </c>
      <c r="M323" s="45">
        <f ca="1">IFERROR(__xludf.DUMMYFUNCTION("IMPORTRANGE(""https://docs.google.com/spreadsheets/d/1MeEWN-I1oV_STSDYn1IFDPWt_1FKiwhDph83XaGc0o0/edit?usp=sharing"",""งบพรบ!EI62"")"),0)</f>
        <v>0</v>
      </c>
      <c r="N323" s="45">
        <f ca="1">IFERROR(__xludf.DUMMYFUNCTION("IMPORTRANGE(""https://docs.google.com/spreadsheets/d/1MeEWN-I1oV_STSDYn1IFDPWt_1FKiwhDph83XaGc0o0/edit?usp=sharing"",""งบพรบ!EK62"")"),0)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IFERROR(__xludf.DUMMYFUNCTION("IMPORTRANGE(""https://docs.google.com/spreadsheets/d/1QqKyyYR6Q21VydFLVH3TRQUabQu_ym0Zz7PgGX0-kHA/edit?usp=sharing"",""แผน!EF62"")"),0)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IFERROR(__xludf.DUMMYFUNCTION("IMPORTRANGE(""https://docs.google.com/spreadsheets/d/1QqKyyYR6Q21VydFLVH3TRQUabQu_ym0Zz7PgGX0-kHA/edit?usp=sharing"",""แผน!EG62"")"),800)</f>
        <v>800</v>
      </c>
      <c r="J327" s="421">
        <f ca="1">J338+J341+J342+J343</f>
        <v>1420</v>
      </c>
      <c r="K327" s="422">
        <f ca="1">IF(I327&gt;0,J327*100/I327,0)</f>
        <v>177.5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159000</v>
      </c>
      <c r="M328" s="154">
        <f t="shared" ca="1" si="149"/>
        <v>161500</v>
      </c>
      <c r="N328" s="154">
        <f t="shared" ca="1" si="149"/>
        <v>108176.67</v>
      </c>
      <c r="O328" s="154">
        <f t="shared" ref="O328:O336" ca="1" si="150">IF(L328&gt;0,N328*100/L328,0)</f>
        <v>68.035641509433958</v>
      </c>
      <c r="P328" s="154">
        <f t="shared" ref="P328:P336" ca="1" si="151">IF(M328&gt;0,N328*100/M328,0)</f>
        <v>66.982458204334364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159000</v>
      </c>
      <c r="M330" s="45">
        <f t="shared" ca="1" si="152"/>
        <v>161500</v>
      </c>
      <c r="N330" s="45">
        <f t="shared" ca="1" si="152"/>
        <v>108176.67</v>
      </c>
      <c r="O330" s="45">
        <f t="shared" ca="1" si="150"/>
        <v>68.035641509433958</v>
      </c>
      <c r="P330" s="45">
        <f t="shared" ca="1" si="151"/>
        <v>66.982458204334364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159000</v>
      </c>
      <c r="M331" s="38">
        <f t="shared" ca="1" si="153"/>
        <v>161500</v>
      </c>
      <c r="N331" s="38">
        <f t="shared" ca="1" si="153"/>
        <v>108176.67</v>
      </c>
      <c r="O331" s="38">
        <f t="shared" ca="1" si="150"/>
        <v>68.035641509433958</v>
      </c>
      <c r="P331" s="38">
        <f t="shared" ca="1" si="151"/>
        <v>66.982458204334364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IFERROR(__xludf.DUMMYFUNCTION("IMPORTRANGE(""https://docs.google.com/spreadsheets/d/1MeEWN-I1oV_STSDYn1IFDPWt_1FKiwhDph83XaGc0o0/edit?usp=sharing"",""งบพรบ!EM62"")"),159000)</f>
        <v>159000</v>
      </c>
      <c r="M333" s="45">
        <f ca="1">IFERROR(__xludf.DUMMYFUNCTION("IMPORTRANGE(""https://docs.google.com/spreadsheets/d/1MeEWN-I1oV_STSDYn1IFDPWt_1FKiwhDph83XaGc0o0/edit?usp=sharing"",""งบพรบ!ER62"")"),161500)</f>
        <v>161500</v>
      </c>
      <c r="N333" s="45">
        <f ca="1">IFERROR(__xludf.DUMMYFUNCTION("IMPORTRANGE(""https://docs.google.com/spreadsheets/d/1MeEWN-I1oV_STSDYn1IFDPWt_1FKiwhDph83XaGc0o0/edit?usp=sharing"",""งบพรบ!ET62"")"),108176.67)</f>
        <v>108176.67</v>
      </c>
      <c r="O333" s="45">
        <f t="shared" ca="1" si="150"/>
        <v>68.035641509433958</v>
      </c>
      <c r="P333" s="45">
        <f t="shared" ca="1" si="151"/>
        <v>66.982458204334364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IFERROR(__xludf.DUMMYFUNCTION("IMPORTRANGE(""https://docs.google.com/spreadsheets/d/1MeEWN-I1oV_STSDYn1IFDPWt_1FKiwhDph83XaGc0o0/edit?usp=sharing"",""งบพรบ!EP62"")"),0)</f>
        <v>0</v>
      </c>
      <c r="M336" s="45">
        <f ca="1">IFERROR(__xludf.DUMMYFUNCTION("IMPORTRANGE(""https://docs.google.com/spreadsheets/d/1MeEWN-I1oV_STSDYn1IFDPWt_1FKiwhDph83XaGc0o0/edit?usp=sharing"",""งบพรบ!ES62"")"),0)</f>
        <v>0</v>
      </c>
      <c r="N336" s="45">
        <f ca="1">IFERROR(__xludf.DUMMYFUNCTION("IMPORTRANGE(""https://docs.google.com/spreadsheets/d/1MeEWN-I1oV_STSDYn1IFDPWt_1FKiwhDph83XaGc0o0/edit?usp=sharing"",""งบพรบ!EU62"")"),0)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IFERROR(__xludf.DUMMYFUNCTION("IMPORTRANGE(""https://docs.google.com/spreadsheets/d/1QqKyyYR6Q21VydFLVH3TRQUabQu_ym0Zz7PgGX0-kHA/edit?usp=sharing"",""แผน!EG62"")"),800)</f>
        <v>800</v>
      </c>
      <c r="J338" s="37">
        <f ca="1">IFERROR(__xludf.DUMMYFUNCTION("IMPORTRANGE(""https://docs.google.com/spreadsheets/d/1kVcqe37tkHyjCSG3S0O1AXqVkqjo8mSIZil3BcpIysc/edit?usp=sharing"",""ศูนย์!D62"")"),1373)</f>
        <v>1373</v>
      </c>
      <c r="K338" s="38">
        <f ca="1">IF(I338&gt;0,J338*100/I338,0)</f>
        <v>171.625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IFERROR(__xludf.DUMMYFUNCTION("IMPORTRANGE(""https://docs.google.com/spreadsheets/d/1QqKyyYR6Q21VydFLVH3TRQUabQu_ym0Zz7PgGX0-kHA/edit?usp=sharing"",""แผน!EH62"")"),3)</f>
        <v>3</v>
      </c>
      <c r="J340" s="37">
        <f ca="1">IFERROR(__xludf.DUMMYFUNCTION("IMPORTRANGE(""https://docs.google.com/spreadsheets/d/1kVcqe37tkHyjCSG3S0O1AXqVkqjo8mSIZil3BcpIysc/edit?usp=sharing"",""ศูนย์!E62"")"),0)</f>
        <v>0</v>
      </c>
      <c r="K340" s="38">
        <f ca="1">IF(I340&gt;0,J340*100/I340,0)</f>
        <v>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IFERROR(__xludf.DUMMYFUNCTION("IMPORTRANGE(""https://docs.google.com/spreadsheets/d/1kVcqe37tkHyjCSG3S0O1AXqVkqjo8mSIZil3BcpIysc/edit?usp=sharing"",""ศูนย์!F62"")"),0)</f>
        <v>0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IFERROR(__xludf.DUMMYFUNCTION("IMPORTRANGE(""https://docs.google.com/spreadsheets/d/1kVcqe37tkHyjCSG3S0O1AXqVkqjo8mSIZil3BcpIysc/edit?usp=sharing"",""ศูนย์!G62"")"),0)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IFERROR(__xludf.DUMMYFUNCTION("IMPORTRANGE(""https://docs.google.com/spreadsheets/d/1kVcqe37tkHyjCSG3S0O1AXqVkqjo8mSIZil3BcpIysc/edit?usp=sharing"",""ศูนย์!H62"")"),47)</f>
        <v>47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636860</v>
      </c>
      <c r="M345" s="154">
        <f t="shared" ca="1" si="155"/>
        <v>684360</v>
      </c>
      <c r="N345" s="154">
        <f t="shared" ca="1" si="155"/>
        <v>481875.9</v>
      </c>
      <c r="O345" s="154">
        <f t="shared" ref="O345:O353" ca="1" si="156">IF(L345&gt;0,N345*100/L345,0)</f>
        <v>75.664337531011526</v>
      </c>
      <c r="P345" s="154">
        <f t="shared" ref="P345:P353" ca="1" si="157">IF(M345&gt;0,N345*100/M345,0)</f>
        <v>70.41263370156058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636860</v>
      </c>
      <c r="M347" s="45">
        <f t="shared" ca="1" si="158"/>
        <v>684360</v>
      </c>
      <c r="N347" s="45">
        <f t="shared" ca="1" si="158"/>
        <v>481875.9</v>
      </c>
      <c r="O347" s="45">
        <f t="shared" ca="1" si="156"/>
        <v>75.664337531011526</v>
      </c>
      <c r="P347" s="45">
        <f t="shared" ca="1" si="157"/>
        <v>70.41263370156058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485260</v>
      </c>
      <c r="M348" s="38">
        <f t="shared" ca="1" si="159"/>
        <v>532760</v>
      </c>
      <c r="N348" s="38">
        <f t="shared" ca="1" si="159"/>
        <v>330275.90000000002</v>
      </c>
      <c r="O348" s="38">
        <f t="shared" ca="1" si="156"/>
        <v>68.061637060544868</v>
      </c>
      <c r="P348" s="38">
        <f t="shared" ca="1" si="157"/>
        <v>61.993374127186733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IFERROR(__xludf.DUMMYFUNCTION("IMPORTRANGE(""https://docs.google.com/spreadsheets/d/1MeEWN-I1oV_STSDYn1IFDPWt_1FKiwhDph83XaGc0o0/edit?usp=sharing"",""งบพรบ!EW62"")"),485260)</f>
        <v>485260</v>
      </c>
      <c r="M350" s="45">
        <f ca="1">IFERROR(__xludf.DUMMYFUNCTION("IMPORTRANGE(""https://docs.google.com/spreadsheets/d/1MeEWN-I1oV_STSDYn1IFDPWt_1FKiwhDph83XaGc0o0/edit?usp=sharing"",""งบพรบ!FB62"")"),532760)</f>
        <v>532760</v>
      </c>
      <c r="N350" s="45">
        <f ca="1">IFERROR(__xludf.DUMMYFUNCTION("IMPORTRANGE(""https://docs.google.com/spreadsheets/d/1MeEWN-I1oV_STSDYn1IFDPWt_1FKiwhDph83XaGc0o0/edit?usp=sharing"",""งบพรบ!FD62"")"),330275.9)</f>
        <v>330275.90000000002</v>
      </c>
      <c r="O350" s="45">
        <f t="shared" ca="1" si="156"/>
        <v>68.061637060544868</v>
      </c>
      <c r="P350" s="45">
        <f t="shared" ca="1" si="157"/>
        <v>61.993374127186733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151600</v>
      </c>
      <c r="M351" s="38">
        <f t="shared" ca="1" si="160"/>
        <v>151600</v>
      </c>
      <c r="N351" s="38">
        <f t="shared" ca="1" si="160"/>
        <v>151600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IFERROR(__xludf.DUMMYFUNCTION("IMPORTRANGE(""https://docs.google.com/spreadsheets/d/1MeEWN-I1oV_STSDYn1IFDPWt_1FKiwhDph83XaGc0o0/edit?usp=sharing"",""งบพรบ!EZ62"")"),151600)</f>
        <v>151600</v>
      </c>
      <c r="M353" s="45">
        <f ca="1">IFERROR(__xludf.DUMMYFUNCTION("IMPORTRANGE(""https://docs.google.com/spreadsheets/d/1MeEWN-I1oV_STSDYn1IFDPWt_1FKiwhDph83XaGc0o0/edit?usp=sharing"",""งบพรบ!FC62"")"),151600)</f>
        <v>151600</v>
      </c>
      <c r="N353" s="45">
        <f ca="1">IFERROR(__xludf.DUMMYFUNCTION("IMPORTRANGE(""https://docs.google.com/spreadsheets/d/1MeEWN-I1oV_STSDYn1IFDPWt_1FKiwhDph83XaGc0o0/edit?usp=sharing"",""งบพรบ!FE62"")"),151600)</f>
        <v>151600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IFERROR(__xludf.DUMMYFUNCTION("IMPORTRANGE(""https://docs.google.com/spreadsheets/d/1QqKyyYR6Q21VydFLVH3TRQUabQu_ym0Zz7PgGX0-kHA/edit?usp=sharing"",""แผน!EP62"")"),90)</f>
        <v>90</v>
      </c>
      <c r="J355" s="438">
        <f ca="1">J362</f>
        <v>43</v>
      </c>
      <c r="K355" s="439">
        <f ca="1">IF(I355&gt;0,J355*100/I355,0)</f>
        <v>47.777777777777779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IFERROR(__xludf.DUMMYFUNCTION("IMPORTRANGE(""https://docs.google.com/spreadsheets/d/1XWAQStnk-4SwqDmLtmXYiTMKHgktTP8We1SCoS47DrQ/edit?usp=sharing"",""จัดที่ดิน!W62"")"),94)</f>
        <v>94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IFERROR(__xludf.DUMMYFUNCTION("IMPORTRANGE(""https://docs.google.com/spreadsheets/d/1QqKyyYR6Q21VydFLVH3TRQUabQu_ym0Zz7PgGX0-kHA/edit?usp=sharing"",""แผน!EO62"")"),760)</f>
        <v>760</v>
      </c>
      <c r="J359" s="37">
        <f ca="1">IFERROR(__xludf.DUMMYFUNCTION("IMPORTRANGE(""https://docs.google.com/spreadsheets/d/1XWAQStnk-4SwqDmLtmXYiTMKHgktTP8We1SCoS47DrQ/edit?usp=sharing"",""จัดที่ดิน!X62"")"),778.69)</f>
        <v>778.69</v>
      </c>
      <c r="K359" s="38">
        <f t="shared" ca="1" si="161"/>
        <v>102.45921052631579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IFERROR(__xludf.DUMMYFUNCTION("IMPORTRANGE(""https://docs.google.com/spreadsheets/d/1QqKyyYR6Q21VydFLVH3TRQUabQu_ym0Zz7PgGX0-kHA/edit?usp=sharing"",""แผน!EP62"")"),90)</f>
        <v>90</v>
      </c>
      <c r="J360" s="37">
        <f ca="1">IFERROR(__xludf.DUMMYFUNCTION("IMPORTRANGE(""https://docs.google.com/spreadsheets/d/1XWAQStnk-4SwqDmLtmXYiTMKHgktTP8We1SCoS47DrQ/edit?usp=sharing"",""จัดที่ดิน!Y62"")"),43)</f>
        <v>43</v>
      </c>
      <c r="K360" s="38">
        <f t="shared" ca="1" si="161"/>
        <v>47.777777777777779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IFERROR(__xludf.DUMMYFUNCTION("IMPORTRANGE(""https://docs.google.com/spreadsheets/d/1XWAQStnk-4SwqDmLtmXYiTMKHgktTP8We1SCoS47DrQ/edit?usp=sharing"",""จัดที่ดิน!Z62"")"),254.61)</f>
        <v>254.61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IFERROR(__xludf.DUMMYFUNCTION("IMPORTRANGE(""https://docs.google.com/spreadsheets/d/1QqKyyYR6Q21VydFLVH3TRQUabQu_ym0Zz7PgGX0-kHA/edit?usp=sharing"",""แผน!EP62"")"),90)</f>
        <v>90</v>
      </c>
      <c r="J362" s="37">
        <f ca="1">IFERROR(__xludf.DUMMYFUNCTION("IMPORTRANGE(""https://docs.google.com/spreadsheets/d/1XWAQStnk-4SwqDmLtmXYiTMKHgktTP8We1SCoS47DrQ/edit?usp=sharing"",""จัดที่ดิน!AA62"")"),43)</f>
        <v>43</v>
      </c>
      <c r="K362" s="38">
        <f t="shared" ca="1" si="161"/>
        <v>47.777777777777779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IFERROR(__xludf.DUMMYFUNCTION("IMPORTRANGE(""https://docs.google.com/spreadsheets/d/1XWAQStnk-4SwqDmLtmXYiTMKHgktTP8We1SCoS47DrQ/edit?usp=sharing"",""จัดที่ดิน!AB62"")"),262.77)</f>
        <v>262.77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140</v>
      </c>
      <c r="J364" s="452">
        <f t="shared" ca="1" si="162"/>
        <v>161</v>
      </c>
      <c r="K364" s="453">
        <f t="shared" ca="1" si="161"/>
        <v>115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IFERROR(__xludf.DUMMYFUNCTION("IMPORTRANGE(""https://docs.google.com/spreadsheets/d/1QqKyyYR6Q21VydFLVH3TRQUabQu_ym0Zz7PgGX0-kHA/edit?usp=sharing"",""แผน!EJ62"")"),60)</f>
        <v>60</v>
      </c>
      <c r="J365" s="462">
        <f ca="1">J372</f>
        <v>25</v>
      </c>
      <c r="K365" s="463">
        <f t="shared" ca="1" si="161"/>
        <v>41.666666666666664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IFERROR(__xludf.DUMMYFUNCTION("IMPORTRANGE(""https://docs.google.com/spreadsheets/d/1XWAQStnk-4SwqDmLtmXYiTMKHgktTP8We1SCoS47DrQ/edit?usp=sharing"",""จัดที่ดิน!E62"")"),76)</f>
        <v>76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IFERROR(__xludf.DUMMYFUNCTION("IMPORTRANGE(""https://docs.google.com/spreadsheets/d/1QqKyyYR6Q21VydFLVH3TRQUabQu_ym0Zz7PgGX0-kHA/edit?usp=sharing"",""แผน!EI62"")"),500)</f>
        <v>500</v>
      </c>
      <c r="J369" s="37">
        <f ca="1">IFERROR(__xludf.DUMMYFUNCTION("IMPORTRANGE(""https://docs.google.com/spreadsheets/d/1XWAQStnk-4SwqDmLtmXYiTMKHgktTP8We1SCoS47DrQ/edit?usp=sharing"",""จัดที่ดิน!F62"")"),639.14)</f>
        <v>639.14</v>
      </c>
      <c r="K369" s="38">
        <f t="shared" ca="1" si="163"/>
        <v>127.828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IFERROR(__xludf.DUMMYFUNCTION("IMPORTRANGE(""https://docs.google.com/spreadsheets/d/1QqKyyYR6Q21VydFLVH3TRQUabQu_ym0Zz7PgGX0-kHA/edit?usp=sharing"",""แผน!EJ62"")"),60)</f>
        <v>60</v>
      </c>
      <c r="J370" s="37">
        <f ca="1">IFERROR(__xludf.DUMMYFUNCTION("IMPORTRANGE(""https://docs.google.com/spreadsheets/d/1XWAQStnk-4SwqDmLtmXYiTMKHgktTP8We1SCoS47DrQ/edit?usp=sharing"",""จัดที่ดิน!G62"")"),25)</f>
        <v>25</v>
      </c>
      <c r="K370" s="38">
        <f t="shared" ca="1" si="163"/>
        <v>41.666666666666664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IFERROR(__xludf.DUMMYFUNCTION("IMPORTRANGE(""https://docs.google.com/spreadsheets/d/1XWAQStnk-4SwqDmLtmXYiTMKHgktTP8We1SCoS47DrQ/edit?usp=sharing"",""จัดที่ดิน!H62"")"),115.06)</f>
        <v>115.06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IFERROR(__xludf.DUMMYFUNCTION("IMPORTRANGE(""https://docs.google.com/spreadsheets/d/1QqKyyYR6Q21VydFLVH3TRQUabQu_ym0Zz7PgGX0-kHA/edit?usp=sharing"",""แผน!EJ62"")"),60)</f>
        <v>60</v>
      </c>
      <c r="J372" s="37">
        <f ca="1">IFERROR(__xludf.DUMMYFUNCTION("IMPORTRANGE(""https://docs.google.com/spreadsheets/d/1XWAQStnk-4SwqDmLtmXYiTMKHgktTP8We1SCoS47DrQ/edit?usp=sharing"",""จัดที่ดิน!I62"")"),25)</f>
        <v>25</v>
      </c>
      <c r="K372" s="38">
        <f t="shared" ca="1" si="163"/>
        <v>41.666666666666664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IFERROR(__xludf.DUMMYFUNCTION("IMPORTRANGE(""https://docs.google.com/spreadsheets/d/1XWAQStnk-4SwqDmLtmXYiTMKHgktTP8We1SCoS47DrQ/edit?usp=sharing"",""จัดที่ดิน!J62"")"),123.22)</f>
        <v>123.22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IFERROR(__xludf.DUMMYFUNCTION("IMPORTRANGE(""https://docs.google.com/spreadsheets/d/1QqKyyYR6Q21VydFLVH3TRQUabQu_ym0Zz7PgGX0-kHA/edit?usp=sharing"",""แผน!EU62"")"),80)</f>
        <v>80</v>
      </c>
      <c r="J374" s="462">
        <f ca="1">J381</f>
        <v>136</v>
      </c>
      <c r="K374" s="463">
        <f t="shared" ca="1" si="163"/>
        <v>170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IFERROR(__xludf.DUMMYFUNCTION("IMPORTRANGE(""https://docs.google.com/spreadsheets/d/1XWAQStnk-4SwqDmLtmXYiTMKHgktTP8We1SCoS47DrQ/edit?usp=sharing"",""จัดที่ดิน!AH62"")"),18)</f>
        <v>18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IFERROR(__xludf.DUMMYFUNCTION("IMPORTRANGE(""https://docs.google.com/spreadsheets/d/1QqKyyYR6Q21VydFLVH3TRQUabQu_ym0Zz7PgGX0-kHA/edit?usp=sharing"",""แผน!ET62"")"),260)</f>
        <v>260</v>
      </c>
      <c r="J378" s="37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38">
        <f t="shared" ca="1" si="164"/>
        <v>53.673076923076927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IFERROR(__xludf.DUMMYFUNCTION("IMPORTRANGE(""https://docs.google.com/spreadsheets/d/1QqKyyYR6Q21VydFLVH3TRQUabQu_ym0Zz7PgGX0-kHA/edit?usp=sharing"",""แผน!EU62"")"),80)</f>
        <v>80</v>
      </c>
      <c r="J379" s="37">
        <f ca="1">IFERROR(__xludf.DUMMYFUNCTION("IMPORTRANGE(""https://docs.google.com/spreadsheets/d/1XWAQStnk-4SwqDmLtmXYiTMKHgktTP8We1SCoS47DrQ/edit?usp=sharing"",""จัดที่ดิน!AJ62"")"),136)</f>
        <v>136</v>
      </c>
      <c r="K379" s="38">
        <f t="shared" ca="1" si="164"/>
        <v>170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IFERROR(__xludf.DUMMYFUNCTION("IMPORTRANGE(""https://docs.google.com/spreadsheets/d/1XWAQStnk-4SwqDmLtmXYiTMKHgktTP8We1SCoS47DrQ/edit?usp=sharing"",""จัดที่ดิน!AK62"")"),1702.93)</f>
        <v>1702.93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IFERROR(__xludf.DUMMYFUNCTION("IMPORTRANGE(""https://docs.google.com/spreadsheets/d/1QqKyyYR6Q21VydFLVH3TRQUabQu_ym0Zz7PgGX0-kHA/edit?usp=sharing"",""แผน!EU62"")"),80)</f>
        <v>80</v>
      </c>
      <c r="J381" s="37">
        <f ca="1">IFERROR(__xludf.DUMMYFUNCTION("IMPORTRANGE(""https://docs.google.com/spreadsheets/d/1XWAQStnk-4SwqDmLtmXYiTMKHgktTP8We1SCoS47DrQ/edit?usp=sharing"",""จัดที่ดิน!AL62"")"),136)</f>
        <v>136</v>
      </c>
      <c r="K381" s="38">
        <f t="shared" ca="1" si="164"/>
        <v>170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IFERROR(__xludf.DUMMYFUNCTION("IMPORTRANGE(""https://docs.google.com/spreadsheets/d/1XWAQStnk-4SwqDmLtmXYiTMKHgktTP8We1SCoS47DrQ/edit?usp=sharing"",""จัดที่ดิน!AM62"")"),1711.38999999999)</f>
        <v>1711.3899999999901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IFERROR(__xludf.DUMMYFUNCTION("IMPORTRANGE(""https://docs.google.com/spreadsheets/d/1QqKyyYR6Q21VydFLVH3TRQUabQu_ym0Zz7PgGX0-kHA/edit?usp=sharing"",""แผน!EW62"")"),15)</f>
        <v>15</v>
      </c>
      <c r="J385" s="365">
        <f ca="1">IFERROR(__xludf.DUMMYFUNCTION("IMPORTRANGE(""https://docs.google.com/spreadsheets/d/1XWAQStnk-4SwqDmLtmXYiTMKHgktTP8We1SCoS47DrQ/edit?usp=sharing"",""จัดที่ดิน!AP62"")"),15)</f>
        <v>15</v>
      </c>
      <c r="K385" s="472">
        <f ca="1">IF(I385&gt;0,J385*100/I385,0)</f>
        <v>100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IFERROR(__xludf.DUMMYFUNCTION("IMPORTRANGE(""https://docs.google.com/spreadsheets/d/1MeEWN-I1oV_STSDYn1IFDPWt_1FKiwhDph83XaGc0o0/edit?usp=sharing"",""งบพรบ!FG62"")"),0)</f>
        <v>0</v>
      </c>
      <c r="M394" s="45">
        <f ca="1">IFERROR(__xludf.DUMMYFUNCTION("IMPORTRANGE(""https://docs.google.com/spreadsheets/d/1MeEWN-I1oV_STSDYn1IFDPWt_1FKiwhDph83XaGc0o0/edit?usp=sharing"",""งบพรบ!FL62"")"),0)</f>
        <v>0</v>
      </c>
      <c r="N394" s="45">
        <f ca="1">IFERROR(__xludf.DUMMYFUNCTION("IMPORTRANGE(""https://docs.google.com/spreadsheets/d/1MeEWN-I1oV_STSDYn1IFDPWt_1FKiwhDph83XaGc0o0/edit?usp=sharing"",""งบพรบ!FN62"")"),0)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IFERROR(__xludf.DUMMYFUNCTION("IMPORTRANGE(""https://docs.google.com/spreadsheets/d/1MeEWN-I1oV_STSDYn1IFDPWt_1FKiwhDph83XaGc0o0/edit?usp=sharing"",""งบพรบ!FJ62"")"),0)</f>
        <v>0</v>
      </c>
      <c r="M397" s="45">
        <f ca="1">IFERROR(__xludf.DUMMYFUNCTION("IMPORTRANGE(""https://docs.google.com/spreadsheets/d/1MeEWN-I1oV_STSDYn1IFDPWt_1FKiwhDph83XaGc0o0/edit?usp=sharing"",""งบพรบ!FM62"")"),0)</f>
        <v>0</v>
      </c>
      <c r="N397" s="45">
        <f ca="1">IFERROR(__xludf.DUMMYFUNCTION("IMPORTRANGE(""https://docs.google.com/spreadsheets/d/1MeEWN-I1oV_STSDYn1IFDPWt_1FKiwhDph83XaGc0o0/edit?usp=sharing"",""งบพรบ!FO62"")"),0)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IFERROR(__xludf.DUMMYFUNCTION("IMPORTRANGE(""https://docs.google.com/spreadsheets/d/1MeEWN-I1oV_STSDYn1IFDPWt_1FKiwhDph83XaGc0o0/edit?usp=sharing"",""งบพรบ!FQ62"")"),0)</f>
        <v>0</v>
      </c>
      <c r="M407" s="45">
        <f ca="1">IFERROR(__xludf.DUMMYFUNCTION("IMPORTRANGE(""https://docs.google.com/spreadsheets/d/1MeEWN-I1oV_STSDYn1IFDPWt_1FKiwhDph83XaGc0o0/edit?usp=sharing"",""งบพรบ!FV62"")"),0)</f>
        <v>0</v>
      </c>
      <c r="N407" s="45">
        <f ca="1">IFERROR(__xludf.DUMMYFUNCTION("IMPORTRANGE(""https://docs.google.com/spreadsheets/d/1MeEWN-I1oV_STSDYn1IFDPWt_1FKiwhDph83XaGc0o0/edit?usp=sharing"",""งบพรบ!FX62"")"),0)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IFERROR(__xludf.DUMMYFUNCTION("IMPORTRANGE(""https://docs.google.com/spreadsheets/d/1MeEWN-I1oV_STSDYn1IFDPWt_1FKiwhDph83XaGc0o0/edit?usp=sharing"",""งบพรบ!FT62"")"),0)</f>
        <v>0</v>
      </c>
      <c r="M410" s="45">
        <f ca="1">IFERROR(__xludf.DUMMYFUNCTION("IMPORTRANGE(""https://docs.google.com/spreadsheets/d/1MeEWN-I1oV_STSDYn1IFDPWt_1FKiwhDph83XaGc0o0/edit?usp=sharing"",""งบพรบ!FW62"")"),0)</f>
        <v>0</v>
      </c>
      <c r="N410" s="45">
        <f ca="1">IFERROR(__xludf.DUMMYFUNCTION("IMPORTRANGE(""https://docs.google.com/spreadsheets/d/1MeEWN-I1oV_STSDYn1IFDPWt_1FKiwhDph83XaGc0o0/edit?usp=sharing"",""งบพรบ!FY62"")"),0)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1122465</v>
      </c>
      <c r="M414" s="518">
        <f t="shared" ca="1" si="181"/>
        <v>1122465</v>
      </c>
      <c r="N414" s="518">
        <f t="shared" si="181"/>
        <v>786395.61</v>
      </c>
      <c r="O414" s="518">
        <f ca="1">IF(L414&gt;0,N414*100/L414,0)</f>
        <v>70.059699857011125</v>
      </c>
      <c r="P414" s="518">
        <f ca="1">IF(M414&gt;0,N414*100/M414,0)</f>
        <v>70.059699857011125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15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66635</v>
      </c>
      <c r="O419" s="154">
        <f t="shared" ref="O419:O424" ca="1" si="185">IF(L419&gt;0,N419*100/L419,0)</f>
        <v>100.11268028846153</v>
      </c>
      <c r="P419" s="154">
        <f t="shared" ref="P419:P424" ca="1" si="186">IF(M419&gt;0,N419*100/M419,0)</f>
        <v>100.11268028846153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66635</v>
      </c>
      <c r="O421" s="45">
        <f t="shared" ca="1" si="185"/>
        <v>100.11268028846153</v>
      </c>
      <c r="P421" s="45">
        <f t="shared" ca="1" si="186"/>
        <v>100.11268028846153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66635</v>
      </c>
      <c r="O422" s="38">
        <f t="shared" ca="1" si="185"/>
        <v>100.11268028846153</v>
      </c>
      <c r="P422" s="38">
        <f t="shared" ca="1" si="186"/>
        <v>100.11268028846153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IFERROR(__xludf.DUMMYFUNCTION("IMPORTRANGE(""https://docs.google.com/spreadsheets/d/1QqKyyYR6Q21VydFLVH3TRQUabQu_ym0Zz7PgGX0-kHA/edit?usp=sharing"",""แผน!EY62"")"),66560)</f>
        <v>66560</v>
      </c>
      <c r="M424" s="45">
        <f ca="1">L424</f>
        <v>66560</v>
      </c>
      <c r="N424" s="45">
        <f>N425+N426+N427+N428</f>
        <v>66635</v>
      </c>
      <c r="O424" s="45">
        <f t="shared" ca="1" si="185"/>
        <v>100.11268028846153</v>
      </c>
      <c r="P424" s="45">
        <f t="shared" ca="1" si="186"/>
        <v>100.11268028846153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f>49950+75</f>
        <v>50025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>1940+13350+1320</f>
        <v>16610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IFERROR(__xludf.DUMMYFUNCTION("IMPORTRANGE(""https://docs.google.com/spreadsheets/d/1QqKyyYR6Q21VydFLVH3TRQUabQu_ym0Zz7PgGX0-kHA/edit?usp=sharing"",""แผน!FC62"")"),15)</f>
        <v>15</v>
      </c>
      <c r="J435" s="546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IFERROR(__xludf.DUMMYFUNCTION("IMPORTRANGE(""https://docs.google.com/spreadsheets/d/1QqKyyYR6Q21VydFLVH3TRQUabQu_ym0Zz7PgGX0-kHA/edit?usp=sharing"",""แผน!FD62"")"),0)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IFERROR(__xludf.DUMMYFUNCTION("IMPORTRANGE(""https://docs.google.com/spreadsheets/d/1QqKyyYR6Q21VydFLVH3TRQUabQu_ym0Zz7PgGX0-kHA/edit?usp=sharing"",""แผน!FE62"")"),0)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IFERROR(__xludf.DUMMYFUNCTION("IMPORTRANGE(""https://docs.google.com/spreadsheets/d/1QqKyyYR6Q21VydFLVH3TRQUabQu_ym0Zz7PgGX0-kHA/edit?usp=sharing"",""แผน!FF62"")"),15)</f>
        <v>15</v>
      </c>
      <c r="J439" s="54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IFERROR(__xludf.DUMMYFUNCTION("IMPORTRANGE(""https://docs.google.com/spreadsheets/d/1QqKyyYR6Q21VydFLVH3TRQUabQu_ym0Zz7PgGX0-kHA/edit?usp=sharing"",""แผน!FJ62"")"),0)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IFERROR(__xludf.DUMMYFUNCTION("IMPORTRANGE(""https://docs.google.com/spreadsheets/d/1QqKyyYR6Q21VydFLVH3TRQUabQu_ym0Zz7PgGX0-kHA/edit?usp=sharing"",""แผน!FN62"")"),0)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IFERROR(__xludf.DUMMYFUNCTION("IMPORTRANGE(""https://docs.google.com/spreadsheets/d/1QqKyyYR6Q21VydFLVH3TRQUabQu_ym0Zz7PgGX0-kHA/edit?usp=sharing"",""แผน!FO62"")"),0)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IFERROR(__xludf.DUMMYFUNCTION("IMPORTRANGE(""https://docs.google.com/spreadsheets/d/1QqKyyYR6Q21VydFLVH3TRQUabQu_ym0Zz7PgGX0-kHA/edit?usp=sharing"",""แผน!FO62"")"),0)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IFERROR(__xludf.DUMMYFUNCTION("IMPORTRANGE(""https://docs.google.com/spreadsheets/d/1QqKyyYR6Q21VydFLVH3TRQUabQu_ym0Zz7PgGX0-kHA/edit?usp=sharing"",""แผน!FN62"")"),0)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IFERROR(__xludf.DUMMYFUNCTION("IMPORTRANGE(""https://docs.google.com/spreadsheets/d/1QqKyyYR6Q21VydFLVH3TRQUabQu_ym0Zz7PgGX0-kHA/edit?usp=sharing"",""แผน!FX62"")"),51)</f>
        <v>51</v>
      </c>
      <c r="J465" s="552">
        <f>J485+J489+J492</f>
        <v>51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IFERROR(__xludf.DUMMYFUNCTION("IMPORTRANGE(""https://docs.google.com/spreadsheets/d/1QqKyyYR6Q21VydFLVH3TRQUabQu_ym0Zz7PgGX0-kHA/edit?usp=sharing"",""แผน!FW62"")"),500)</f>
        <v>500</v>
      </c>
      <c r="J466" s="533">
        <f>J495+J498</f>
        <v>500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410533</v>
      </c>
      <c r="M467" s="191">
        <f t="shared" ca="1" si="206"/>
        <v>410533</v>
      </c>
      <c r="N467" s="191">
        <f t="shared" si="206"/>
        <v>409480</v>
      </c>
      <c r="O467" s="191">
        <f t="shared" ref="O467:O472" ca="1" si="207">IF(L467&gt;0,N467*100/L467,0)</f>
        <v>99.743504176278151</v>
      </c>
      <c r="P467" s="191">
        <f t="shared" ref="P467:P472" ca="1" si="208">IF(M467&gt;0,N467*100/M467,0)</f>
        <v>99.743504176278151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410533</v>
      </c>
      <c r="M469" s="45">
        <f t="shared" ca="1" si="209"/>
        <v>410533</v>
      </c>
      <c r="N469" s="45">
        <f t="shared" si="209"/>
        <v>409480</v>
      </c>
      <c r="O469" s="45">
        <f t="shared" ca="1" si="207"/>
        <v>99.743504176278151</v>
      </c>
      <c r="P469" s="45">
        <f t="shared" ca="1" si="208"/>
        <v>99.743504176278151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410533</v>
      </c>
      <c r="M470" s="38">
        <f t="shared" ca="1" si="210"/>
        <v>410533</v>
      </c>
      <c r="N470" s="38">
        <f t="shared" si="210"/>
        <v>409480</v>
      </c>
      <c r="O470" s="38">
        <f t="shared" ca="1" si="207"/>
        <v>99.743504176278151</v>
      </c>
      <c r="P470" s="38">
        <f t="shared" ca="1" si="208"/>
        <v>99.743504176278151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IFERROR(__xludf.DUMMYFUNCTION("IMPORTRANGE(""https://docs.google.com/spreadsheets/d/1QqKyyYR6Q21VydFLVH3TRQUabQu_ym0Zz7PgGX0-kHA/edit?usp=sharing"",""แผน!FS62"")"),410533)</f>
        <v>410533</v>
      </c>
      <c r="M472" s="45">
        <f ca="1">L472</f>
        <v>410533</v>
      </c>
      <c r="N472" s="45">
        <f>N473+N474+N475+N476</f>
        <v>409480</v>
      </c>
      <c r="O472" s="45">
        <f t="shared" ca="1" si="207"/>
        <v>99.743504176278151</v>
      </c>
      <c r="P472" s="45">
        <f t="shared" ca="1" si="208"/>
        <v>99.743504176278151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f>6550+78480</f>
        <v>85030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314000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2700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>7750</f>
        <v>7750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IFERROR(__xludf.DUMMYFUNCTION("IMPORTRANGE(""https://docs.google.com/spreadsheets/d/1QqKyyYR6Q21VydFLVH3TRQUabQu_ym0Zz7PgGX0-kHA/edit?usp=sharing"",""แผน!FY62"")"),450)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45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IFERROR(__xludf.DUMMYFUNCTION("IMPORTRANGE(""https://docs.google.com/spreadsheets/d/1QqKyyYR6Q21VydFLVH3TRQUabQu_ym0Zz7PgGX0-kHA/edit?usp=sharing"",""แผน!FZ62"")"),45)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IFERROR(__xludf.DUMMYFUNCTION("IMPORTRANGE(""https://docs.google.com/spreadsheets/d/1QqKyyYR6Q21VydFLVH3TRQUabQu_ym0Zz7PgGX0-kHA/edit?usp=sharing"",""แผน!GA62"")"),50)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IFERROR(__xludf.DUMMYFUNCTION("IMPORTRANGE(""https://docs.google.com/spreadsheets/d/1QqKyyYR6Q21VydFLVH3TRQUabQu_ym0Zz7PgGX0-kHA/edit?usp=sharing"",""แผน!GB62"")"),5)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IFERROR(__xludf.DUMMYFUNCTION("IMPORTRANGE(""https://docs.google.com/spreadsheets/d/1QqKyyYR6Q21VydFLVH3TRQUabQu_ym0Zz7PgGX0-kHA/edit?usp=sharing"",""แผน!GC62"")"),1)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IFERROR(__xludf.DUMMYFUNCTION("IMPORTRANGE(""https://docs.google.com/spreadsheets/d/1QqKyyYR6Q21VydFLVH3TRQUabQu_ym0Zz7PgGX0-kHA/edit?usp=sharing"",""แผน!FY62"")"),450)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450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IFERROR(__xludf.DUMMYFUNCTION("IMPORTRANGE(""https://docs.google.com/spreadsheets/d/1QqKyyYR6Q21VydFLVH3TRQUabQu_ym0Zz7PgGX0-kHA/edit?usp=sharing"",""แผน!GA62"")"),50)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50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IFERROR(__xludf.DUMMYFUNCTION("IMPORTRANGE(""https://docs.google.com/spreadsheets/d/1QqKyyYR6Q21VydFLVH3TRQUabQu_ym0Zz7PgGX0-kHA/edit?usp=sharing"",""แผน!GQ62"")"),0)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IFERROR(__xludf.DUMMYFUNCTION("IMPORTRANGE(""https://docs.google.com/spreadsheets/d/1QqKyyYR6Q21VydFLVH3TRQUabQu_ym0Zz7PgGX0-kHA/edit?usp=sharing"",""แผน!GU62"")"),0)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IFERROR(__xludf.DUMMYFUNCTION("IMPORTRANGE(""https://docs.google.com/spreadsheets/d/1QqKyyYR6Q21VydFLVH3TRQUabQu_ym0Zz7PgGX0-kHA/edit?usp=sharing"",""แผน!GV62"")"),0)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IFERROR(__xludf.DUMMYFUNCTION("IMPORTRANGE(""https://docs.google.com/spreadsheets/d/1QqKyyYR6Q21VydFLVH3TRQUabQu_ym0Zz7PgGX0-kHA/edit?usp=sharing"",""แผน!GY62"")"),0)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IFERROR(__xludf.DUMMYFUNCTION("IMPORTRANGE(""https://docs.google.com/spreadsheets/d/1QqKyyYR6Q21VydFLVH3TRQUabQu_ym0Zz7PgGX0-kHA/edit?usp=sharing"",""แผน!GZ62"")"),0)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18118</v>
      </c>
      <c r="J543" s="635">
        <f t="shared" si="235"/>
        <v>13208</v>
      </c>
      <c r="K543" s="636">
        <f t="shared" ca="1" si="234"/>
        <v>72.899878573794012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315742</v>
      </c>
      <c r="M544" s="154">
        <f t="shared" ca="1" si="236"/>
        <v>315742</v>
      </c>
      <c r="N544" s="154">
        <f t="shared" si="236"/>
        <v>197107</v>
      </c>
      <c r="O544" s="154">
        <f t="shared" ref="O544:O549" ca="1" si="237">IF(L544&gt;0,N544*100/L544,0)</f>
        <v>62.426601465753684</v>
      </c>
      <c r="P544" s="154">
        <f t="shared" ref="P544:P549" ca="1" si="238">IF(M544&gt;0,N544*100/M544,0)</f>
        <v>62.426601465753684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315742</v>
      </c>
      <c r="M546" s="45">
        <f t="shared" ca="1" si="240"/>
        <v>315742</v>
      </c>
      <c r="N546" s="45">
        <f t="shared" si="240"/>
        <v>197107</v>
      </c>
      <c r="O546" s="45">
        <f t="shared" ca="1" si="237"/>
        <v>62.426601465753684</v>
      </c>
      <c r="P546" s="45">
        <f t="shared" ca="1" si="238"/>
        <v>62.426601465753684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315742</v>
      </c>
      <c r="M547" s="38">
        <f t="shared" ca="1" si="241"/>
        <v>315742</v>
      </c>
      <c r="N547" s="38">
        <f t="shared" si="241"/>
        <v>197107</v>
      </c>
      <c r="O547" s="38">
        <f t="shared" ca="1" si="237"/>
        <v>62.426601465753684</v>
      </c>
      <c r="P547" s="38">
        <f t="shared" ca="1" si="238"/>
        <v>62.426601465753684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IFERROR(__xludf.DUMMYFUNCTION("IMPORTRANGE(""https://docs.google.com/spreadsheets/d/1QqKyyYR6Q21VydFLVH3TRQUabQu_ym0Zz7PgGX0-kHA/edit?usp=sharing"",""แผน!HB62"")"),315742)</f>
        <v>315742</v>
      </c>
      <c r="M549" s="45">
        <f ca="1">L549</f>
        <v>315742</v>
      </c>
      <c r="N549" s="45">
        <f>N550+N551+N552+N553+N554</f>
        <v>197107</v>
      </c>
      <c r="O549" s="45">
        <f t="shared" ca="1" si="237"/>
        <v>62.426601465753684</v>
      </c>
      <c r="P549" s="45">
        <f t="shared" ca="1" si="238"/>
        <v>62.426601465753684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f>23450+35520</f>
        <v>58970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104000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>3840+12900+9125+840+4700+1232+1500</f>
        <v>34137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18118</v>
      </c>
      <c r="J559" s="627">
        <f t="shared" si="245"/>
        <v>13208</v>
      </c>
      <c r="K559" s="628">
        <f t="shared" ref="K559:K561" ca="1" si="246">IF(I559&gt;0,J559*100/I559,0)</f>
        <v>72.899878573794012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IFERROR(__xludf.DUMMYFUNCTION("IMPORTRANGE(""https://docs.google.com/spreadsheets/d/1QqKyyYR6Q21VydFLVH3TRQUabQu_ym0Zz7PgGX0-kHA/edit?usp=sharing"",""แผน!HH62"")"),18118)</f>
        <v>18118</v>
      </c>
      <c r="J560" s="189">
        <f t="shared" ref="J560:J561" si="247">J562+J564+J566</f>
        <v>18118</v>
      </c>
      <c r="K560" s="390">
        <f t="shared" ca="1" si="246"/>
        <v>100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IFERROR(__xludf.DUMMYFUNCTION("IMPORTRANGE(""https://docs.google.com/spreadsheets/d/1QqKyyYR6Q21VydFLVH3TRQUabQu_ym0Zz7PgGX0-kHA/edit?usp=sharing"",""แผน!HG62"")"),1162)</f>
        <v>1162</v>
      </c>
      <c r="J561" s="189">
        <f t="shared" si="247"/>
        <v>1162</v>
      </c>
      <c r="K561" s="390">
        <f t="shared" ca="1" si="246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12704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895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4966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228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448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39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IFERROR(__xludf.DUMMYFUNCTION("IMPORTRANGE(""https://docs.google.com/spreadsheets/d/1QqKyyYR6Q21VydFLVH3TRQUabQu_ym0Zz7PgGX0-kHA/edit?usp=sharing"",""แผน!HH62"")"),18118)</f>
        <v>18118</v>
      </c>
      <c r="J568" s="190">
        <f t="shared" ref="J568:J569" si="248">J570+J572+J574</f>
        <v>18120</v>
      </c>
      <c r="K568" s="390">
        <f t="shared" ref="K568:K569" ca="1" si="249">IF(I568&gt;0,J568*100/I568,0)</f>
        <v>100.01103874599845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IFERROR(__xludf.DUMMYFUNCTION("IMPORTRANGE(""https://docs.google.com/spreadsheets/d/1QqKyyYR6Q21VydFLVH3TRQUabQu_ym0Zz7PgGX0-kHA/edit?usp=sharing"",""แผน!HG62"")"),1162)</f>
        <v>1162</v>
      </c>
      <c r="J569" s="190">
        <f t="shared" si="248"/>
        <v>1162</v>
      </c>
      <c r="K569" s="390">
        <f t="shared" ca="1" si="249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12717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897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4955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226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448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39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IFERROR(__xludf.DUMMYFUNCTION("IMPORTRANGE(""https://docs.google.com/spreadsheets/d/1QqKyyYR6Q21VydFLVH3TRQUabQu_ym0Zz7PgGX0-kHA/edit?usp=sharing"",""แผน!HH62"")"),18118)</f>
        <v>18118</v>
      </c>
      <c r="J576" s="190">
        <f t="shared" ref="J576:J577" si="250">J578+J580+J582+J588+J590</f>
        <v>13208</v>
      </c>
      <c r="K576" s="390">
        <f t="shared" ref="K576:K577" ca="1" si="251">IF(I576&gt;0,J576*100/I576,0)</f>
        <v>72.899878573794012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IFERROR(__xludf.DUMMYFUNCTION("IMPORTRANGE(""https://docs.google.com/spreadsheets/d/1QqKyyYR6Q21VydFLVH3TRQUabQu_ym0Zz7PgGX0-kHA/edit?usp=sharing"",""แผน!HG62"")"),1162)</f>
        <v>1162</v>
      </c>
      <c r="J577" s="190">
        <f t="shared" si="250"/>
        <v>938</v>
      </c>
      <c r="K577" s="390">
        <f t="shared" ca="1" si="251"/>
        <v>80.722891566265062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12760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899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448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39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448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39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2254.8200000000002</v>
      </c>
      <c r="J592" s="627">
        <f t="shared" si="253"/>
        <v>121</v>
      </c>
      <c r="K592" s="628">
        <f t="shared" ref="K592:K594" ca="1" si="254">IF(I592&gt;0,J592*100/I592,0)</f>
        <v>5.3662820092069428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IFERROR(__xludf.DUMMYFUNCTION("IMPORTRANGE(""https://docs.google.com/spreadsheets/d/1QqKyyYR6Q21VydFLVH3TRQUabQu_ym0Zz7PgGX0-kHA/edit?usp=sharing"",""แผน!HJ62"")"),2254.82)</f>
        <v>2254.8200000000002</v>
      </c>
      <c r="J593" s="189">
        <f t="shared" ref="J593:J594" si="255">J595+J603+J609</f>
        <v>121</v>
      </c>
      <c r="K593" s="390">
        <f t="shared" ca="1" si="254"/>
        <v>5.3662820092069428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IFERROR(__xludf.DUMMYFUNCTION("IMPORTRANGE(""https://docs.google.com/spreadsheets/d/1QqKyyYR6Q21VydFLVH3TRQUabQu_ym0Zz7PgGX0-kHA/edit?usp=sharing"",""แผน!HI62"")"),208)</f>
        <v>208</v>
      </c>
      <c r="J594" s="189">
        <f t="shared" si="255"/>
        <v>9</v>
      </c>
      <c r="K594" s="390">
        <f t="shared" ca="1" si="254"/>
        <v>4.3269230769230766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75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5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75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5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37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2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37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2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9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2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IFERROR(__xludf.DUMMYFUNCTION("IMPORTRANGE(""https://docs.google.com/spreadsheets/d/1QqKyyYR6Q21VydFLVH3TRQUabQu_ym0Zz7PgGX0-kHA/edit?usp=sharing"",""แผน!HL62"")"),0)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IFERROR(__xludf.DUMMYFUNCTION("IMPORTRANGE(""https://docs.google.com/spreadsheets/d/1QqKyyYR6Q21VydFLVH3TRQUabQu_ym0Zz7PgGX0-kHA/edit?usp=sharing"",""แผน!HK62"")"),0)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60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329630</v>
      </c>
      <c r="M629" s="191">
        <f t="shared" ca="1" si="263"/>
        <v>329630</v>
      </c>
      <c r="N629" s="191">
        <f t="shared" si="263"/>
        <v>113173.61</v>
      </c>
      <c r="O629" s="191">
        <f t="shared" ref="O629:O634" ca="1" si="264">IF(L629&gt;0,N629*100/L629,0)</f>
        <v>34.333528501653369</v>
      </c>
      <c r="P629" s="191">
        <f t="shared" ref="P629:P634" ca="1" si="265">IF(M629&gt;0,N629*100/M629,0)</f>
        <v>34.333528501653369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329630</v>
      </c>
      <c r="M631" s="45">
        <f t="shared" ca="1" si="266"/>
        <v>329630</v>
      </c>
      <c r="N631" s="45">
        <f t="shared" si="266"/>
        <v>113173.61</v>
      </c>
      <c r="O631" s="45">
        <f t="shared" ca="1" si="264"/>
        <v>34.333528501653369</v>
      </c>
      <c r="P631" s="45">
        <f t="shared" ca="1" si="265"/>
        <v>34.333528501653369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329630</v>
      </c>
      <c r="M632" s="38">
        <f t="shared" ca="1" si="267"/>
        <v>329630</v>
      </c>
      <c r="N632" s="38">
        <f t="shared" si="267"/>
        <v>113173.61</v>
      </c>
      <c r="O632" s="38">
        <f t="shared" ca="1" si="264"/>
        <v>34.333528501653369</v>
      </c>
      <c r="P632" s="38">
        <f t="shared" ca="1" si="265"/>
        <v>34.333528501653369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IFERROR(__xludf.DUMMYFUNCTION("IMPORTRANGE(""https://docs.google.com/spreadsheets/d/1QqKyyYR6Q21VydFLVH3TRQUabQu_ym0Zz7PgGX0-kHA/edit?usp=sharing"",""แผน!HN62"")"),329630)</f>
        <v>329630</v>
      </c>
      <c r="M634" s="45">
        <f ca="1">L634</f>
        <v>329630</v>
      </c>
      <c r="N634" s="45">
        <f>N635+N636+N637+N638</f>
        <v>113173.61</v>
      </c>
      <c r="O634" s="45">
        <f t="shared" ca="1" si="264"/>
        <v>34.333528501653369</v>
      </c>
      <c r="P634" s="45">
        <f t="shared" ca="1" si="265"/>
        <v>34.333528501653369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f>64535.72+12133.34+10064.55+13000</f>
        <v>99733.61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f>2000+9000+2440</f>
        <v>13440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IFERROR(__xludf.DUMMYFUNCTION("IMPORTRANGE(""https://docs.google.com/spreadsheets/d/1XWAQStnk-4SwqDmLtmXYiTMKHgktTP8We1SCoS47DrQ/edit?usp=sharing"",""จัดที่ดิน!AS62"")"),2)</f>
        <v>2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IFERROR(__xludf.DUMMYFUNCTION("IMPORTRANGE(""https://docs.google.com/spreadsheets/d/1XWAQStnk-4SwqDmLtmXYiTMKHgktTP8We1SCoS47DrQ/edit?usp=sharing"",""จัดที่ดิน!AT62"")"),0.73)</f>
        <v>0.73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IFERROR(__xludf.DUMMYFUNCTION("IMPORTRANGE(""https://docs.google.com/spreadsheets/d/1QqKyyYR6Q21VydFLVH3TRQUabQu_ym0Zz7PgGX0-kHA/edit?usp=sharing"",""แผน!HS62"")"),60)</f>
        <v>60</v>
      </c>
      <c r="J647" s="37">
        <f ca="1">IFERROR(__xludf.DUMMYFUNCTION("IMPORTRANGE(""https://docs.google.com/spreadsheets/d/1XWAQStnk-4SwqDmLtmXYiTMKHgktTP8We1SCoS47DrQ/edit?usp=sharing"",""จัดที่ดิน!AU62"")"),0)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IFERROR(__xludf.DUMMYFUNCTION("IMPORTRANGE(""https://docs.google.com/spreadsheets/d/1XWAQStnk-4SwqDmLtmXYiTMKHgktTP8We1SCoS47DrQ/edit?usp=sharing"",""จัดที่ดิน!AV62"")"),0)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IFERROR(__xludf.DUMMYFUNCTION("IMPORTRANGE(""https://docs.google.com/spreadsheets/d/1QqKyyYR6Q21VydFLVH3TRQUabQu_ym0Zz7PgGX0-kHA/edit?usp=sharing"",""แผน!HS62"")"),60)</f>
        <v>60</v>
      </c>
      <c r="J649" s="37">
        <f ca="1">IFERROR(__xludf.DUMMYFUNCTION("IMPORTRANGE(""https://docs.google.com/spreadsheets/d/1XWAQStnk-4SwqDmLtmXYiTMKHgktTP8We1SCoS47DrQ/edit?usp=sharing"",""จัดที่ดิน!AW62"")"),1)</f>
        <v>1</v>
      </c>
      <c r="K649" s="162">
        <f t="shared" ca="1" si="271"/>
        <v>1.6666666666666667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IFERROR(__xludf.DUMMYFUNCTION("IMPORTRANGE(""https://docs.google.com/spreadsheets/d/1XWAQStnk-4SwqDmLtmXYiTMKHgktTP8We1SCoS47DrQ/edit?usp=sharing"",""จัดที่ดิน!AX62"")"),0.32)</f>
        <v>0.32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IFERROR(__xludf.DUMMYFUNCTION("IMPORTRANGE(""https://docs.google.com/spreadsheets/d/1QqKyyYR6Q21VydFLVH3TRQUabQu_ym0Zz7PgGX0-kHA/edit?usp=sharing"",""แผน!HS62"")"),60)</f>
        <v>60</v>
      </c>
      <c r="J651" s="37">
        <f ca="1">IFERROR(__xludf.DUMMYFUNCTION("IMPORTRANGE(""https://docs.google.com/spreadsheets/d/1XWAQStnk-4SwqDmLtmXYiTMKHgktTP8We1SCoS47DrQ/edit?usp=sharing"",""จัดที่ดิน!AY62"")"),0)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IFERROR(__xludf.DUMMYFUNCTION("IMPORTRANGE(""https://docs.google.com/spreadsheets/d/1XWAQStnk-4SwqDmLtmXYiTMKHgktTP8We1SCoS47DrQ/edit?usp=sharing"",""จัดที่ดิน!AZ62"")"),0)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 hidden="1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IFERROR(__xludf.DUMMYFUNCTION("IMPORTRANGE(""https://docs.google.com/spreadsheets/d/1QqKyyYR6Q21VydFLVH3TRQUabQu_ym0Zz7PgGX0-kHA/edit?usp=sharing"",""แผน!HV62"")"),0)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IFERROR(__xludf.DUMMYFUNCTION("IMPORTRANGE(""https://docs.google.com/spreadsheets/d/1QqKyyYR6Q21VydFLVH3TRQUabQu_ym0Zz7PgGX0-kHA/edit?usp=sharing"",""แผน!IA62"")"),0)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IFERROR(__xludf.DUMMYFUNCTION("IMPORTRANGE(""https://docs.google.com/spreadsheets/d/1QqKyyYR6Q21VydFLVH3TRQUabQu_ym0Zz7PgGX0-kHA/edit?usp=sharing"",""แผน!HZ62"")"),0)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IFERROR(__xludf.DUMMYFUNCTION("IMPORTRANGE(""https://docs.google.com/spreadsheets/d/1QqKyyYR6Q21VydFLVH3TRQUabQu_ym0Zz7PgGX0-kHA/edit?usp=sharing"",""แผน!HZ62"")"),0)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IFERROR(__xludf.DUMMYFUNCTION("IMPORTRANGE(""https://docs.google.com/spreadsheets/d/1QqKyyYR6Q21VydFLVH3TRQUabQu_ym0Zz7PgGX0-kHA/edit?usp=sharing"",""แผน!IB62"")"),0)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 hidden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 hidden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 hidden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IFERROR(__xludf.DUMMYFUNCTION("IMPORTRANGE(""https://docs.google.com/spreadsheets/d/1QqKyyYR6Q21VydFLVH3TRQUabQu_ym0Zz7PgGX0-kHA/edit?usp=sharing"",""แผน!HW62"")"),0)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 hidden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 hidden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 hidden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 hidden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 hidden="1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 hidden="1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 hidden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IFERROR(__xludf.DUMMYFUNCTION("IMPORTRANGE(""https://docs.google.com/spreadsheets/d/1QqKyyYR6Q21VydFLVH3TRQUabQu_ym0Zz7PgGX0-kHA/edit?usp=sharing"",""แผน!IC62"")"),0)</f>
        <v>0</v>
      </c>
      <c r="J699" s="37">
        <f ca="1">IFERROR(__xludf.DUMMYFUNCTION("IMPORTRANGE(""https://docs.google.com/spreadsheets/d/1XWAQStnk-4SwqDmLtmXYiTMKHgktTP8We1SCoS47DrQ/edit?usp=sharing"",""จัดที่ดิน!BB62"")"),0)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 hidden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IFERROR(__xludf.DUMMYFUNCTION("IMPORTRANGE(""https://docs.google.com/spreadsheets/d/1QqKyyYR6Q21VydFLVH3TRQUabQu_ym0Zz7PgGX0-kHA/edit?usp=sharing"",""แผน!ID62"")"),0)</f>
        <v>0</v>
      </c>
      <c r="J700" s="37">
        <f ca="1">IFERROR(__xludf.DUMMYFUNCTION("IMPORTRANGE(""https://docs.google.com/spreadsheets/d/1XWAQStnk-4SwqDmLtmXYiTMKHgktTP8We1SCoS47DrQ/edit?usp=sharing"",""จัดที่ดิน!BD62"")"),0)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 hidden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IFERROR(__xludf.DUMMYFUNCTION("IMPORTRANGE(""https://docs.google.com/spreadsheets/d/1QqKyyYR6Q21VydFLVH3TRQUabQu_ym0Zz7PgGX0-kHA/edit?usp=sharing"",""แผน!IE62"")"),0)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 hidden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 hidden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 hidden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IFERROR(__xludf.DUMMYFUNCTION("IMPORTRANGE(""https://docs.google.com/spreadsheets/d/1QqKyyYR6Q21VydFLVH3TRQUabQu_ym0Zz7PgGX0-kHA/edit?usp=sharing"",""แผน!IF62"")"),0)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 hidden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 hidden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 hidden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IFERROR(__xludf.DUMMYFUNCTION("IMPORTRANGE(""https://docs.google.com/spreadsheets/d/1QqKyyYR6Q21VydFLVH3TRQUabQu_ym0Zz7PgGX0-kHA/edit?usp=sharing"",""แผน!IG62"")"),0)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 hidden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IFERROR(__xludf.DUMMYFUNCTION("IMPORTRANGE(""https://docs.google.com/spreadsheets/d/1QqKyyYR6Q21VydFLVH3TRQUabQu_ym0Zz7PgGX0-kHA/edit?usp=sharing"",""แผน!IH62"")"),0)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 hidden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 hidden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 hidden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 hidden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 hidden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 hidden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 hidden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 hidden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 hidden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 hidden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IFERROR(__xludf.DUMMYFUNCTION("IMPORTRANGE(""https://docs.google.com/spreadsheets/d/1XWAQStnk-4SwqDmLtmXYiTMKHgktTP8We1SCoS47DrQ/edit?usp=sharing"",""จัดที่ดิน!BF62"")"),0)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 hidden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IFERROR(__xludf.DUMMYFUNCTION("IMPORTRANGE(""https://docs.google.com/spreadsheets/d/1XWAQStnk-4SwqDmLtmXYiTMKHgktTP8We1SCoS47DrQ/edit?usp=sharing"",""จัดที่ดิน!BG62"")"),0)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 hidden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IFERROR(__xludf.DUMMYFUNCTION("IMPORTRANGE(""https://docs.google.com/spreadsheets/d/1QqKyyYR6Q21VydFLVH3TRQUabQu_ym0Zz7PgGX0-kHA/edit?usp=sharing"",""แผน!II62"")"),0)</f>
        <v>0</v>
      </c>
      <c r="J720" s="37">
        <f ca="1">IFERROR(__xludf.DUMMYFUNCTION("IMPORTRANGE(""https://docs.google.com/spreadsheets/d/1XWAQStnk-4SwqDmLtmXYiTMKHgktTP8We1SCoS47DrQ/edit?usp=sharing"",""จัดที่ดิน!BH62"")"),0)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 hidden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IFERROR(__xludf.DUMMYFUNCTION("IMPORTRANGE(""https://docs.google.com/spreadsheets/d/1QqKyyYR6Q21VydFLVH3TRQUabQu_ym0Zz7PgGX0-kHA/edit?usp=sharing"",""แผน!IJ62"")"),0)</f>
        <v>0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 hidden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IFERROR(__xludf.DUMMYFUNCTION("IMPORTRANGE(""https://docs.google.com/spreadsheets/d/1QqKyyYR6Q21VydFLVH3TRQUabQu_ym0Zz7PgGX0-kHA/edit?usp=sharing"",""แผน!IK62"")"),0)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 hidden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IFERROR(__xludf.DUMMYFUNCTION("IMPORTRANGE(""https://docs.google.com/spreadsheets/d/1QqKyyYR6Q21VydFLVH3TRQUabQu_ym0Zz7PgGX0-kHA/edit?usp=sharing"",""แผน!IL62"")"),0)</f>
        <v>0</v>
      </c>
      <c r="J723" s="37">
        <f ca="1">IFERROR(__xludf.DUMMYFUNCTION("IMPORTRANGE(""https://docs.google.com/spreadsheets/d/1XWAQStnk-4SwqDmLtmXYiTMKHgktTP8We1SCoS47DrQ/edit?usp=sharing"",""จัดที่ดิน!BM62"")"),0)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 hidden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IFERROR(__xludf.DUMMYFUNCTION("IMPORTRANGE(""https://docs.google.com/spreadsheets/d/1XWAQStnk-4SwqDmLtmXYiTMKHgktTP8We1SCoS47DrQ/edit?usp=sharing"",""จัดที่ดิน!BN62"")"),0)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 hidden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IFERROR(__xludf.DUMMYFUNCTION("IMPORTRANGE(""https://docs.google.com/spreadsheets/d/1QqKyyYR6Q21VydFLVH3TRQUabQu_ym0Zz7PgGX0-kHA/edit?usp=sharing"",""แผน!IM62"")"),0)</f>
        <v>0</v>
      </c>
      <c r="J725" s="37">
        <f ca="1">IFERROR(__xludf.DUMMYFUNCTION("IMPORTRANGE(""https://docs.google.com/spreadsheets/d/1XWAQStnk-4SwqDmLtmXYiTMKHgktTP8We1SCoS47DrQ/edit?usp=sharing"",""จัดที่ดิน!BO62"")"),0)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 hidden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IFERROR(__xludf.DUMMYFUNCTION("IMPORTRANGE(""https://docs.google.com/spreadsheets/d/1QqKyyYR6Q21VydFLVH3TRQUabQu_ym0Zz7PgGX0-kHA/edit?usp=sharing"",""แผน!IN62"")"),0)</f>
        <v>0</v>
      </c>
      <c r="J726" s="37">
        <f ca="1">IFERROR(__xludf.DUMMYFUNCTION("IMPORTRANGE(""https://docs.google.com/spreadsheets/d/1XWAQStnk-4SwqDmLtmXYiTMKHgktTP8We1SCoS47DrQ/edit?usp=sharing"",""จัดที่ดิน!BR62"")"),0)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 hidden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IFERROR(__xludf.DUMMYFUNCTION("IMPORTRANGE(""https://docs.google.com/spreadsheets/d/1XWAQStnk-4SwqDmLtmXYiTMKHgktTP8We1SCoS47DrQ/edit?usp=sharing"",""จัดที่ดิน!BS62"")"),0)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 hidden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IFERROR(__xludf.DUMMYFUNCTION("IMPORTRANGE(""https://docs.google.com/spreadsheets/d/1QqKyyYR6Q21VydFLVH3TRQUabQu_ym0Zz7PgGX0-kHA/edit?usp=sharing"",""แผน!IO62"")"),0)</f>
        <v>0</v>
      </c>
      <c r="J728" s="37">
        <f ca="1">IFERROR(__xludf.DUMMYFUNCTION("IMPORTRANGE(""https://docs.google.com/spreadsheets/d/1XWAQStnk-4SwqDmLtmXYiTMKHgktTP8We1SCoS47DrQ/edit?usp=sharing"",""จัดที่ดิน!BT62"")"),0)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 hidden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IFERROR(__xludf.DUMMYFUNCTION("IMPORTRANGE(""https://docs.google.com/spreadsheets/d/1QqKyyYR6Q21VydFLVH3TRQUabQu_ym0Zz7PgGX0-kHA/edit?usp=sharing"",""แผน!IP62"")"),0)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 hidden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 hidden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 hidden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 hidden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 hidden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 hidden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IFERROR(__xludf.DUMMYFUNCTION("IMPORTRANGE(""https://docs.google.com/spreadsheets/d/1QqKyyYR6Q21VydFLVH3TRQUabQu_ym0Zz7PgGX0-kHA/edit?usp=sharing"",""แผน!JJ62"")"),0)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IFERROR(__xludf.DUMMYFUNCTION("IMPORTRANGE(""https://docs.google.com/spreadsheets/d/1QqKyyYR6Q21VydFLVH3TRQUabQu_ym0Zz7PgGX0-kHA/edit?usp=sharing"",""แผน!JN62"")"),0)</f>
        <v>0</v>
      </c>
      <c r="J800" s="161">
        <f ca="1">IFERROR(__xludf.DUMMYFUNCTION("IMPORTRANGE(""https://docs.google.com/spreadsheets/d/1MaWodYyGHDf7siQLGxnXhG4mBNTNIuy296niS2xXulU/edit?usp=sharing"",""RTK!H62"")"),0)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IFERROR(__xludf.DUMMYFUNCTION("IMPORTRANGE(""https://docs.google.com/spreadsheets/d/1MaWodYyGHDf7siQLGxnXhG4mBNTNIuy296niS2xXulU/edit?usp=sharing"",""RTK!I62"")"),0)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37">
        <f ca="1">IFERROR(__xludf.DUMMYFUNCTION("IMPORTRANGE(""https://docs.google.com/spreadsheets/d/19vJNZY_5yjcGF2XGBMNZRCAIB0Kwfpjp8YEOfu-bneM/edit?usp=sharing"",""งานกองทุน!F62"")"),1954767.9)</f>
        <v>1954767.9</v>
      </c>
      <c r="K821" s="38">
        <f t="shared" ref="K821:K828" ca="1" si="335">IF(I821&gt;0,J821*100/I821,0)</f>
        <v>96.747426589036749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IFERROR(__xludf.DUMMYFUNCTION("IMPORTRANGE(""https://docs.google.com/spreadsheets/d/19vJNZY_5yjcGF2XGBMNZRCAIB0Kwfpjp8YEOfu-bneM/edit?usp=sharing"",""งานกองทุน!C62"")"),141)</f>
        <v>141</v>
      </c>
      <c r="J822" s="37">
        <f ca="1">IFERROR(__xludf.DUMMYFUNCTION("IMPORTRANGE(""https://docs.google.com/spreadsheets/d/19vJNZY_5yjcGF2XGBMNZRCAIB0Kwfpjp8YEOfu-bneM/edit?usp=sharing"",""งานกองทุน!E62"")"),138)</f>
        <v>138</v>
      </c>
      <c r="K822" s="38">
        <f t="shared" ca="1" si="335"/>
        <v>97.872340425531917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37">
        <f ca="1">IFERROR(__xludf.DUMMYFUNCTION("IMPORTRANGE(""https://docs.google.com/spreadsheets/d/19vJNZY_5yjcGF2XGBMNZRCAIB0Kwfpjp8YEOfu-bneM/edit?usp=sharing"",""งานกองทุน!K62"")"),75419.06)</f>
        <v>75419.06</v>
      </c>
      <c r="K823" s="38">
        <f t="shared" ca="1" si="335"/>
        <v>32.914476632350578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IFERROR(__xludf.DUMMYFUNCTION("IMPORTRANGE(""https://docs.google.com/spreadsheets/d/19vJNZY_5yjcGF2XGBMNZRCAIB0Kwfpjp8YEOfu-bneM/edit?usp=sharing"",""งานกองทุน!H62"")"),16)</f>
        <v>16</v>
      </c>
      <c r="J824" s="37">
        <f ca="1">IFERROR(__xludf.DUMMYFUNCTION("IMPORTRANGE(""https://docs.google.com/spreadsheets/d/19vJNZY_5yjcGF2XGBMNZRCAIB0Kwfpjp8YEOfu-bneM/edit?usp=sharing"",""งานกองทุน!J62"")"),15)</f>
        <v>15</v>
      </c>
      <c r="K824" s="38">
        <f t="shared" ca="1" si="335"/>
        <v>93.75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IFERROR(__xludf.DUMMYFUNCTION("IMPORTRANGE(""https://docs.google.com/spreadsheets/d/19vJNZY_5yjcGF2XGBMNZRCAIB0Kwfpjp8YEOfu-bneM/edit?usp=sharing"",""งานกองทุน!N62"")"),231.96)</f>
        <v>231.96</v>
      </c>
      <c r="J825" s="37">
        <f ca="1">IFERROR(__xludf.DUMMYFUNCTION("IMPORTRANGE(""https://docs.google.com/spreadsheets/d/19vJNZY_5yjcGF2XGBMNZRCAIB0Kwfpjp8YEOfu-bneM/edit?usp=sharing"",""งานกองทุน!P62"")"),231.96)</f>
        <v>231.96</v>
      </c>
      <c r="K825" s="38">
        <f t="shared" ca="1" si="335"/>
        <v>100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IFERROR(__xludf.DUMMYFUNCTION("IMPORTRANGE(""https://docs.google.com/spreadsheets/d/19vJNZY_5yjcGF2XGBMNZRCAIB0Kwfpjp8YEOfu-bneM/edit?usp=sharing"",""งานกองทุน!M62"")"),1)</f>
        <v>1</v>
      </c>
      <c r="J826" s="37">
        <f ca="1">IFERROR(__xludf.DUMMYFUNCTION("IMPORTRANGE(""https://docs.google.com/spreadsheets/d/19vJNZY_5yjcGF2XGBMNZRCAIB0Kwfpjp8YEOfu-bneM/edit?usp=sharing"",""งานกองทุน!O62"")"),1)</f>
        <v>1</v>
      </c>
      <c r="K826" s="38">
        <f t="shared" ca="1" si="335"/>
        <v>100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IFERROR(__xludf.DUMMYFUNCTION("IMPORTRANGE(""https://docs.google.com/spreadsheets/d/19vJNZY_5yjcGF2XGBMNZRCAIB0Kwfpjp8YEOfu-bneM/edit?usp=sharing"",""งานกองทุน!S62"")"),2000000)</f>
        <v>2000000</v>
      </c>
      <c r="J827" s="37">
        <f ca="1">IFERROR(__xludf.DUMMYFUNCTION("IMPORTRANGE(""https://docs.google.com/spreadsheets/d/19vJNZY_5yjcGF2XGBMNZRCAIB0Kwfpjp8YEOfu-bneM/edit?usp=sharing"",""งานกองทุน!U62"")"),3300000)</f>
        <v>3300000</v>
      </c>
      <c r="K827" s="38">
        <f t="shared" ca="1" si="335"/>
        <v>165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IFERROR(__xludf.DUMMYFUNCTION("IMPORTRANGE(""https://docs.google.com/spreadsheets/d/19vJNZY_5yjcGF2XGBMNZRCAIB0Kwfpjp8YEOfu-bneM/edit?usp=sharing"",""งานกองทุน!R62"")"),66)</f>
        <v>66</v>
      </c>
      <c r="J828" s="365">
        <f ca="1">IFERROR(__xludf.DUMMYFUNCTION("IMPORTRANGE(""https://docs.google.com/spreadsheets/d/19vJNZY_5yjcGF2XGBMNZRCAIB0Kwfpjp8YEOfu-bneM/edit?usp=sharing"",""งานกองทุน!T62"")"),77)</f>
        <v>77</v>
      </c>
      <c r="K828" s="472">
        <f t="shared" ca="1" si="335"/>
        <v>116.66666666666667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DEFF-8348-40F8-BD24-8A3874398D4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349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3959763</v>
      </c>
      <c r="N8" s="22">
        <f t="shared" ca="1" si="0"/>
        <v>3161800.2800000003</v>
      </c>
      <c r="O8" s="22">
        <f t="shared" ref="O8:O16" ca="1" si="1">IF(L8&gt;0,N8*100/L8,0)</f>
        <v>83.262392910083307</v>
      </c>
      <c r="P8" s="22">
        <f t="shared" ref="P8:P16" ca="1" si="2">IF(M8&gt;0,N8*100/M8,0)</f>
        <v>79.848220209138773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3959763</v>
      </c>
      <c r="N10" s="30">
        <f t="shared" ca="1" si="3"/>
        <v>3161800.2800000003</v>
      </c>
      <c r="O10" s="30">
        <f t="shared" ca="1" si="1"/>
        <v>83.262392910083307</v>
      </c>
      <c r="P10" s="30">
        <f t="shared" ca="1" si="2"/>
        <v>79.848220209138773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3195993</v>
      </c>
      <c r="M11" s="38">
        <f t="shared" ca="1" si="4"/>
        <v>3358363</v>
      </c>
      <c r="N11" s="38">
        <f t="shared" ca="1" si="4"/>
        <v>2560400.2800000003</v>
      </c>
      <c r="O11" s="38">
        <f t="shared" ca="1" si="1"/>
        <v>80.112825028089873</v>
      </c>
      <c r="P11" s="38">
        <f t="shared" ca="1" si="2"/>
        <v>76.239533367893827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3195993</v>
      </c>
      <c r="M13" s="45">
        <f t="shared" ca="1" si="5"/>
        <v>3358363</v>
      </c>
      <c r="N13" s="45">
        <f t="shared" ca="1" si="5"/>
        <v>2560400.2800000003</v>
      </c>
      <c r="O13" s="45">
        <f t="shared" ca="1" si="1"/>
        <v>80.112825028089873</v>
      </c>
      <c r="P13" s="45">
        <f t="shared" ca="1" si="2"/>
        <v>76.239533367893827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601400</v>
      </c>
      <c r="M14" s="38">
        <f t="shared" ca="1" si="6"/>
        <v>601400</v>
      </c>
      <c r="N14" s="38">
        <f t="shared" ca="1" si="6"/>
        <v>601400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3214080</v>
      </c>
      <c r="N18" s="22">
        <f t="shared" ca="1" si="8"/>
        <v>2669957.2800000003</v>
      </c>
      <c r="O18" s="22">
        <f t="shared" ref="O18:O26" ca="1" si="9">IF(L18&gt;0,N18*100/L18,0)</f>
        <v>87.490530882685448</v>
      </c>
      <c r="P18" s="22">
        <f t="shared" ref="P18:P26" ca="1" si="10">IF(M18&gt;0,N18*100/M18,0)</f>
        <v>83.070654121863811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3214080</v>
      </c>
      <c r="N20" s="30">
        <f t="shared" ca="1" si="11"/>
        <v>2669957.2800000003</v>
      </c>
      <c r="O20" s="30">
        <f t="shared" ca="1" si="9"/>
        <v>87.490530882685448</v>
      </c>
      <c r="P20" s="30">
        <f t="shared" ca="1" si="10"/>
        <v>83.070654121863811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2450310</v>
      </c>
      <c r="M21" s="38">
        <f t="shared" ca="1" si="12"/>
        <v>2612680</v>
      </c>
      <c r="N21" s="38">
        <f t="shared" ca="1" si="12"/>
        <v>2068557.28</v>
      </c>
      <c r="O21" s="38">
        <f t="shared" ca="1" si="9"/>
        <v>84.420227644665374</v>
      </c>
      <c r="P21" s="38">
        <f t="shared" ca="1" si="10"/>
        <v>79.173770993768855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2450310</v>
      </c>
      <c r="M23" s="45">
        <f t="shared" ca="1" si="13"/>
        <v>2612680</v>
      </c>
      <c r="N23" s="45">
        <f t="shared" ca="1" si="13"/>
        <v>2068557.28</v>
      </c>
      <c r="O23" s="45">
        <f t="shared" ca="1" si="9"/>
        <v>84.420227644665374</v>
      </c>
      <c r="P23" s="45">
        <f t="shared" ca="1" si="10"/>
        <v>79.173770993768855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601400</v>
      </c>
      <c r="M24" s="38">
        <f t="shared" ca="1" si="14"/>
        <v>601400</v>
      </c>
      <c r="N24" s="38">
        <f t="shared" ca="1" si="14"/>
        <v>601400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745683</v>
      </c>
      <c r="M31" s="38">
        <f t="shared" ca="1" si="20"/>
        <v>745683</v>
      </c>
      <c r="N31" s="38">
        <f t="shared" si="20"/>
        <v>491843</v>
      </c>
      <c r="O31" s="38">
        <f t="shared" ca="1" si="17"/>
        <v>65.958725088274775</v>
      </c>
      <c r="P31" s="38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745683</v>
      </c>
      <c r="M33" s="45">
        <f t="shared" ca="1" si="21"/>
        <v>745683</v>
      </c>
      <c r="N33" s="45">
        <f t="shared" si="21"/>
        <v>491843</v>
      </c>
      <c r="O33" s="45">
        <f t="shared" ca="1" si="17"/>
        <v>65.958725088274775</v>
      </c>
      <c r="P33" s="45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3214080</v>
      </c>
      <c r="N37" s="59">
        <f t="shared" ca="1" si="24"/>
        <v>2669957.2800000003</v>
      </c>
      <c r="O37" s="59">
        <f t="shared" ca="1" si="17"/>
        <v>87.490530882685448</v>
      </c>
      <c r="P37" s="59">
        <f t="shared" ca="1" si="18"/>
        <v>83.070654121863811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321210</v>
      </c>
      <c r="N41" s="85">
        <f t="shared" ca="1" si="25"/>
        <v>217085</v>
      </c>
      <c r="O41" s="85">
        <f t="shared" ref="O41:O49" ca="1" si="26">IF(L41&gt;0,N41*100/L41,0)</f>
        <v>69.146360885491319</v>
      </c>
      <c r="P41" s="85">
        <f t="shared" ref="P41:P49" ca="1" si="27">IF(M41&gt;0,N41*100/M41,0)</f>
        <v>67.583512343949437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321210</v>
      </c>
      <c r="N43" s="92">
        <f t="shared" ca="1" si="28"/>
        <v>217085</v>
      </c>
      <c r="O43" s="92">
        <f t="shared" ca="1" si="26"/>
        <v>69.146360885491319</v>
      </c>
      <c r="P43" s="92">
        <f t="shared" ca="1" si="27"/>
        <v>67.583512343949437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313950</v>
      </c>
      <c r="M44" s="38">
        <f t="shared" ca="1" si="29"/>
        <v>321210</v>
      </c>
      <c r="N44" s="38">
        <f t="shared" ca="1" si="29"/>
        <v>217085</v>
      </c>
      <c r="O44" s="38">
        <f t="shared" ca="1" si="26"/>
        <v>69.146360885491319</v>
      </c>
      <c r="P44" s="38">
        <f t="shared" ca="1" si="27"/>
        <v>67.583512343949437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IFERROR(__xludf.DUMMYFUNCTION("IMPORTRANGE(""https://docs.google.com/spreadsheets/d/1MeEWN-I1oV_STSDYn1IFDPWt_1FKiwhDph83XaGc0o0/edit?usp=sharing"",""งบพรบ!M63"")"),313950)</f>
        <v>313950</v>
      </c>
      <c r="M46" s="45">
        <f ca="1">IFERROR(__xludf.DUMMYFUNCTION("IMPORTRANGE(""https://docs.google.com/spreadsheets/d/1MeEWN-I1oV_STSDYn1IFDPWt_1FKiwhDph83XaGc0o0/edit?usp=sharing"",""งบพรบ!R63"")"),321210)</f>
        <v>321210</v>
      </c>
      <c r="N46" s="45">
        <f ca="1">IFERROR(__xludf.DUMMYFUNCTION("IMPORTRANGE(""https://docs.google.com/spreadsheets/d/1MeEWN-I1oV_STSDYn1IFDPWt_1FKiwhDph83XaGc0o0/edit?usp=sharing"",""งบพรบ!T63"")"),217085)</f>
        <v>217085</v>
      </c>
      <c r="O46" s="45">
        <f t="shared" ca="1" si="26"/>
        <v>69.146360885491319</v>
      </c>
      <c r="P46" s="45">
        <f t="shared" ca="1" si="27"/>
        <v>67.583512343949437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334000</v>
      </c>
      <c r="M53" s="115">
        <f t="shared" ca="1" si="31"/>
        <v>390620</v>
      </c>
      <c r="N53" s="115">
        <f t="shared" ca="1" si="31"/>
        <v>303435.63</v>
      </c>
      <c r="O53" s="115">
        <f t="shared" ref="O53:O61" ca="1" si="32">IF(L53&gt;0,N53*100/L53,0)</f>
        <v>90.848991017964067</v>
      </c>
      <c r="P53" s="115">
        <f t="shared" ref="P53:P61" ca="1" si="33">IF(M53&gt;0,N53*100/M53,0)</f>
        <v>77.680515590599555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334000</v>
      </c>
      <c r="M55" s="122">
        <f t="shared" ca="1" si="34"/>
        <v>390620</v>
      </c>
      <c r="N55" s="122">
        <f t="shared" ca="1" si="34"/>
        <v>303435.63</v>
      </c>
      <c r="O55" s="122">
        <f t="shared" ca="1" si="32"/>
        <v>90.848991017964067</v>
      </c>
      <c r="P55" s="122">
        <f t="shared" ca="1" si="33"/>
        <v>77.680515590599555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334000</v>
      </c>
      <c r="M56" s="38">
        <f t="shared" ca="1" si="35"/>
        <v>390620</v>
      </c>
      <c r="N56" s="38">
        <f t="shared" ca="1" si="35"/>
        <v>303435.63</v>
      </c>
      <c r="O56" s="38">
        <f t="shared" ca="1" si="32"/>
        <v>90.848991017964067</v>
      </c>
      <c r="P56" s="38">
        <f t="shared" ca="1" si="33"/>
        <v>77.680515590599555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IFERROR(__xludf.DUMMYFUNCTION("IMPORTRANGE(""https://docs.google.com/spreadsheets/d/1MeEWN-I1oV_STSDYn1IFDPWt_1FKiwhDph83XaGc0o0/edit?usp=sharing"",""งบพรบ!W63"")"),334000)</f>
        <v>334000</v>
      </c>
      <c r="M58" s="45">
        <f ca="1">IFERROR(__xludf.DUMMYFUNCTION("IMPORTRANGE(""https://docs.google.com/spreadsheets/d/1MeEWN-I1oV_STSDYn1IFDPWt_1FKiwhDph83XaGc0o0/edit?usp=sharing"",""งบพรบ!AB63"")"),390620)</f>
        <v>390620</v>
      </c>
      <c r="N58" s="45">
        <f ca="1">IFERROR(__xludf.DUMMYFUNCTION("IMPORTRANGE(""https://docs.google.com/spreadsheets/d/1MeEWN-I1oV_STSDYn1IFDPWt_1FKiwhDph83XaGc0o0/edit?usp=sharing"",""งบพรบ!AD63"")"),303435.63)</f>
        <v>303435.63</v>
      </c>
      <c r="O58" s="45">
        <f t="shared" ca="1" si="32"/>
        <v>90.848991017964067</v>
      </c>
      <c r="P58" s="45">
        <f t="shared" ca="1" si="33"/>
        <v>77.680515590599555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IFERROR(__xludf.DUMMYFUNCTION("IMPORTRANGE(""https://docs.google.com/spreadsheets/d/1MeEWN-I1oV_STSDYn1IFDPWt_1FKiwhDph83XaGc0o0/edit?usp=sharing"",""งบพรบ!AG63"")"),0)</f>
        <v>0</v>
      </c>
      <c r="M71" s="45">
        <f ca="1">IFERROR(__xludf.DUMMYFUNCTION("IMPORTRANGE(""https://docs.google.com/spreadsheets/d/1MeEWN-I1oV_STSDYn1IFDPWt_1FKiwhDph83XaGc0o0/edit?usp=sharing"",""งบพรบ!AL63"")"),0)</f>
        <v>0</v>
      </c>
      <c r="N71" s="45">
        <f ca="1">IFERROR(__xludf.DUMMYFUNCTION("IMPORTRANGE(""https://docs.google.com/spreadsheets/d/1MeEWN-I1oV_STSDYn1IFDPWt_1FKiwhDph83XaGc0o0/edit?usp=sharing"",""งบพรบ!AN63"")"),0)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IFERROR(__xludf.DUMMYFUNCTION("IMPORTRANGE(""https://docs.google.com/spreadsheets/d/1MeEWN-I1oV_STSDYn1IFDPWt_1FKiwhDph83XaGc0o0/edit?usp=sharing"",""งบพรบ!AJ63"")"),0)</f>
        <v>0</v>
      </c>
      <c r="M74" s="45">
        <f ca="1">IFERROR(__xludf.DUMMYFUNCTION("IMPORTRANGE(""https://docs.google.com/spreadsheets/d/1MeEWN-I1oV_STSDYn1IFDPWt_1FKiwhDph83XaGc0o0/edit?usp=sharing"",""งบพรบ!AM63"")"),0)</f>
        <v>0</v>
      </c>
      <c r="N74" s="45">
        <f ca="1">IFERROR(__xludf.DUMMYFUNCTION("IMPORTRANGE(""https://docs.google.com/spreadsheets/d/1MeEWN-I1oV_STSDYn1IFDPWt_1FKiwhDph83XaGc0o0/edit?usp=sharing"",""งบพรบ!AO63"")"),0)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IFERROR(__xludf.DUMMYFUNCTION("IMPORTRANGE(""https://docs.google.com/spreadsheets/d/1QqKyyYR6Q21VydFLVH3TRQUabQu_ym0Zz7PgGX0-kHA/edit?usp=sharing"",""แผน!J63"")"),0)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96640</v>
      </c>
      <c r="N88" s="154">
        <f t="shared" ca="1" si="49"/>
        <v>96640</v>
      </c>
      <c r="O88" s="154">
        <f t="shared" ref="O88:O96" ca="1" si="50">IF(L88&gt;0,N88*100/L88,0)</f>
        <v>112.58154706430568</v>
      </c>
      <c r="P88" s="154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96640</v>
      </c>
      <c r="N90" s="45">
        <f t="shared" ca="1" si="52"/>
        <v>96640</v>
      </c>
      <c r="O90" s="45">
        <f t="shared" ca="1" si="50"/>
        <v>112.58154706430568</v>
      </c>
      <c r="P90" s="45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96640</v>
      </c>
      <c r="N91" s="38">
        <f t="shared" ca="1" si="53"/>
        <v>96640</v>
      </c>
      <c r="O91" s="38">
        <f t="shared" ca="1" si="50"/>
        <v>112.58154706430568</v>
      </c>
      <c r="P91" s="3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IFERROR(__xludf.DUMMYFUNCTION("IMPORTRANGE(""https://docs.google.com/spreadsheets/d/1MeEWN-I1oV_STSDYn1IFDPWt_1FKiwhDph83XaGc0o0/edit?usp=sharing"",""งบพรบ!AQ63"")"),85840)</f>
        <v>85840</v>
      </c>
      <c r="M93" s="45">
        <f ca="1">IFERROR(__xludf.DUMMYFUNCTION("IMPORTRANGE(""https://docs.google.com/spreadsheets/d/1MeEWN-I1oV_STSDYn1IFDPWt_1FKiwhDph83XaGc0o0/edit?usp=sharing"",""งบพรบ!AV63"")"),96640)</f>
        <v>96640</v>
      </c>
      <c r="N93" s="45">
        <f ca="1">IFERROR(__xludf.DUMMYFUNCTION("IMPORTRANGE(""https://docs.google.com/spreadsheets/d/1MeEWN-I1oV_STSDYn1IFDPWt_1FKiwhDph83XaGc0o0/edit?usp=sharing"",""งบพรบ!AX63"")"),96640)</f>
        <v>96640</v>
      </c>
      <c r="O93" s="45">
        <f t="shared" ca="1" si="50"/>
        <v>112.58154706430568</v>
      </c>
      <c r="P93" s="45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IFERROR(__xludf.DUMMYFUNCTION("IMPORTRANGE(""https://docs.google.com/spreadsheets/d/1MeEWN-I1oV_STSDYn1IFDPWt_1FKiwhDph83XaGc0o0/edit?usp=sharing"",""งบพรบ!AT63"")"),0)</f>
        <v>0</v>
      </c>
      <c r="M96" s="45">
        <f ca="1">IFERROR(__xludf.DUMMYFUNCTION("IMPORTRANGE(""https://docs.google.com/spreadsheets/d/1MeEWN-I1oV_STSDYn1IFDPWt_1FKiwhDph83XaGc0o0/edit?usp=sharing"",""งบพรบ!AW63"")"),0)</f>
        <v>0</v>
      </c>
      <c r="N96" s="45">
        <f ca="1">IFERROR(__xludf.DUMMYFUNCTION("IMPORTRANGE(""https://docs.google.com/spreadsheets/d/1MeEWN-I1oV_STSDYn1IFDPWt_1FKiwhDph83XaGc0o0/edit?usp=sharing"",""งบพรบ!AY63"")"),0)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IFERROR(__xludf.DUMMYFUNCTION("IMPORTRANGE(""https://docs.google.com/spreadsheets/d/1QqKyyYR6Q21VydFLVH3TRQUabQu_ym0Zz7PgGX0-kHA/edit?usp=sharing"",""แผน!K63"")"),30)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IFERROR(__xludf.DUMMYFUNCTION("IMPORTRANGE(""https://docs.google.com/spreadsheets/d/1QqKyyYR6Q21VydFLVH3TRQUabQu_ym0Zz7PgGX0-kHA/edit?usp=sharing"",""แผน!L63"")"),10)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IFERROR(__xludf.DUMMYFUNCTION("IMPORTRANGE(""https://docs.google.com/spreadsheets/d/1QqKyyYR6Q21VydFLVH3TRQUabQu_ym0Zz7PgGX0-kHA/edit?usp=sharing"",""แผน!M63"")"),2)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IFERROR(__xludf.DUMMYFUNCTION("IMPORTRANGE(""https://docs.google.com/spreadsheets/d/1QqKyyYR6Q21VydFLVH3TRQUabQu_ym0Zz7PgGX0-kHA/edit?usp=sharing"",""แผน!N63"")"),30)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IFERROR(__xludf.DUMMYFUNCTION("IMPORTRANGE(""https://docs.google.com/spreadsheets/d/1QqKyyYR6Q21VydFLVH3TRQUabQu_ym0Zz7PgGX0-kHA/edit?usp=sharing"",""แผน!O63"")"),10)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IFERROR(__xludf.DUMMYFUNCTION("IMPORTRANGE(""https://docs.google.com/spreadsheets/d/1QqKyyYR6Q21VydFLVH3TRQUabQu_ym0Zz7PgGX0-kHA/edit?usp=sharing"",""แผน!O63"")"),10)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IFERROR(__xludf.DUMMYFUNCTION("IMPORTRANGE(""https://docs.google.com/spreadsheets/d/1QqKyyYR6Q21VydFLVH3TRQUabQu_ym0Zz7PgGX0-kHA/edit?usp=sharing"",""แผน!P63"")"),1)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IFERROR(__xludf.DUMMYFUNCTION("IMPORTRANGE(""https://docs.google.com/spreadsheets/d/1QqKyyYR6Q21VydFLVH3TRQUabQu_ym0Zz7PgGX0-kHA/edit?usp=sharing"",""แผน!P63"")"),1)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IFERROR(__xludf.DUMMYFUNCTION("IMPORTRANGE(""https://docs.google.com/spreadsheets/d/1QqKyyYR6Q21VydFLVH3TRQUabQu_ym0Zz7PgGX0-kHA/edit?usp=sharing"",""แผน!Q63"")"),1)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IFERROR(__xludf.DUMMYFUNCTION("IMPORTRANGE(""https://docs.google.com/spreadsheets/d/1QqKyyYR6Q21VydFLVH3TRQUabQu_ym0Zz7PgGX0-kHA/edit?usp=sharing"",""แผน!Q63"")"),1)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IFERROR(__xludf.DUMMYFUNCTION("IMPORTRANGE(""https://docs.google.com/spreadsheets/d/1QqKyyYR6Q21VydFLVH3TRQUabQu_ym0Zz7PgGX0-kHA/edit?usp=sharing"",""แผน!R63"")"),10)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IFERROR(__xludf.DUMMYFUNCTION("IMPORTRANGE(""https://docs.google.com/spreadsheets/d/1QqKyyYR6Q21VydFLVH3TRQUabQu_ym0Zz7PgGX0-kHA/edit?usp=sharing"",""แผน!R63"")"),10)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IFERROR(__xludf.DUMMYFUNCTION("IMPORTRANGE(""https://docs.google.com/spreadsheets/d/1QqKyyYR6Q21VydFLVH3TRQUabQu_ym0Zz7PgGX0-kHA/edit?usp=sharing"",""แผน!R63"")"),10)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IFERROR(__xludf.DUMMYFUNCTION("IMPORTRANGE(""https://docs.google.com/spreadsheets/d/1QqKyyYR6Q21VydFLVH3TRQUabQu_ym0Zz7PgGX0-kHA/edit?usp=sharing"",""แผน!S63"")"),1)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IFERROR(__xludf.DUMMYFUNCTION("IMPORTRANGE(""https://docs.google.com/spreadsheets/d/1QqKyyYR6Q21VydFLVH3TRQUabQu_ym0Zz7PgGX0-kHA/edit?usp=sharing"",""แผน!T63"")"),1)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IFERROR(__xludf.DUMMYFUNCTION("IMPORTRANGE(""https://docs.google.com/spreadsheets/d/1MeEWN-I1oV_STSDYn1IFDPWt_1FKiwhDph83XaGc0o0/edit?usp=sharing"",""งบพรบ!BA63"")"),0)</f>
        <v>0</v>
      </c>
      <c r="M124" s="45">
        <f ca="1">IFERROR(__xludf.DUMMYFUNCTION("IMPORTRANGE(""https://docs.google.com/spreadsheets/d/1MeEWN-I1oV_STSDYn1IFDPWt_1FKiwhDph83XaGc0o0/edit?usp=sharing"",""งบพรบ!BF63"")"),0)</f>
        <v>0</v>
      </c>
      <c r="N124" s="45">
        <f ca="1">IFERROR(__xludf.DUMMYFUNCTION("IMPORTRANGE(""https://docs.google.com/spreadsheets/d/1MeEWN-I1oV_STSDYn1IFDPWt_1FKiwhDph83XaGc0o0/edit?usp=sharing"",""งบพรบ!BH63"")"),0)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IFERROR(__xludf.DUMMYFUNCTION("IMPORTRANGE(""https://docs.google.com/spreadsheets/d/1MeEWN-I1oV_STSDYn1IFDPWt_1FKiwhDph83XaGc0o0/edit?usp=sharing"",""งบพรบ!BD63"")"),0)</f>
        <v>0</v>
      </c>
      <c r="M127" s="45">
        <f ca="1">IFERROR(__xludf.DUMMYFUNCTION("IMPORTRANGE(""https://docs.google.com/spreadsheets/d/1MeEWN-I1oV_STSDYn1IFDPWt_1FKiwhDph83XaGc0o0/edit?usp=sharing"",""งบพรบ!BG63"")"),0)</f>
        <v>0</v>
      </c>
      <c r="N127" s="45">
        <f ca="1">IFERROR(__xludf.DUMMYFUNCTION("IMPORTRANGE(""https://docs.google.com/spreadsheets/d/1MeEWN-I1oV_STSDYn1IFDPWt_1FKiwhDph83XaGc0o0/edit?usp=sharing"",""งบพรบ!BI63"")"),0)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4</v>
      </c>
      <c r="J130" s="143">
        <f t="shared" si="66"/>
        <v>4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40</v>
      </c>
      <c r="J131" s="143">
        <f t="shared" ca="1" si="68"/>
        <v>40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1017520</v>
      </c>
      <c r="M132" s="154">
        <f t="shared" ca="1" si="69"/>
        <v>1017520</v>
      </c>
      <c r="N132" s="154">
        <f t="shared" ca="1" si="69"/>
        <v>947748.2</v>
      </c>
      <c r="O132" s="154">
        <f t="shared" ref="O132:O140" ca="1" si="70">IF(L132&gt;0,N132*100/L132,0)</f>
        <v>93.142955421023672</v>
      </c>
      <c r="P132" s="154">
        <f t="shared" ref="P132:P140" ca="1" si="71">IF(M132&gt;0,N132*100/M132,0)</f>
        <v>93.142955421023672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1017520</v>
      </c>
      <c r="M134" s="45">
        <f t="shared" ca="1" si="72"/>
        <v>1017520</v>
      </c>
      <c r="N134" s="45">
        <f t="shared" ca="1" si="72"/>
        <v>947748.2</v>
      </c>
      <c r="O134" s="45">
        <f t="shared" ca="1" si="70"/>
        <v>93.142955421023672</v>
      </c>
      <c r="P134" s="45">
        <f t="shared" ca="1" si="71"/>
        <v>93.142955421023672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605520</v>
      </c>
      <c r="M135" s="38">
        <f t="shared" ca="1" si="73"/>
        <v>605520</v>
      </c>
      <c r="N135" s="38">
        <f t="shared" ca="1" si="73"/>
        <v>535748.19999999995</v>
      </c>
      <c r="O135" s="38">
        <f t="shared" ca="1" si="70"/>
        <v>88.47737481833795</v>
      </c>
      <c r="P135" s="38">
        <f t="shared" ca="1" si="71"/>
        <v>88.47737481833795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IFERROR(__xludf.DUMMYFUNCTION("IMPORTRANGE(""https://docs.google.com/spreadsheets/d/1MeEWN-I1oV_STSDYn1IFDPWt_1FKiwhDph83XaGc0o0/edit?usp=sharing"",""งบพรบ!BK63"")"),605520)</f>
        <v>605520</v>
      </c>
      <c r="M137" s="45">
        <f ca="1">IFERROR(__xludf.DUMMYFUNCTION("IMPORTRANGE(""https://docs.google.com/spreadsheets/d/1MeEWN-I1oV_STSDYn1IFDPWt_1FKiwhDph83XaGc0o0/edit?usp=sharing"",""งบพรบ!BP63"")"),605520)</f>
        <v>605520</v>
      </c>
      <c r="N137" s="45">
        <f ca="1">IFERROR(__xludf.DUMMYFUNCTION("IMPORTRANGE(""https://docs.google.com/spreadsheets/d/1MeEWN-I1oV_STSDYn1IFDPWt_1FKiwhDph83XaGc0o0/edit?usp=sharing"",""งบพรบ!BR63"")"),535748.2)</f>
        <v>535748.19999999995</v>
      </c>
      <c r="O137" s="45">
        <f t="shared" ca="1" si="70"/>
        <v>88.47737481833795</v>
      </c>
      <c r="P137" s="45">
        <f t="shared" ca="1" si="71"/>
        <v>88.47737481833795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412000</v>
      </c>
      <c r="M138" s="38">
        <f t="shared" ca="1" si="74"/>
        <v>412000</v>
      </c>
      <c r="N138" s="38">
        <f t="shared" ca="1" si="74"/>
        <v>412000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IFERROR(__xludf.DUMMYFUNCTION("IMPORTRANGE(""https://docs.google.com/spreadsheets/d/1MeEWN-I1oV_STSDYn1IFDPWt_1FKiwhDph83XaGc0o0/edit?usp=sharing"",""งบพรบ!BN63"")"),412000)</f>
        <v>412000</v>
      </c>
      <c r="M140" s="45">
        <f ca="1">IFERROR(__xludf.DUMMYFUNCTION("IMPORTRANGE(""https://docs.google.com/spreadsheets/d/1MeEWN-I1oV_STSDYn1IFDPWt_1FKiwhDph83XaGc0o0/edit?usp=sharing"",""งบพรบ!BQ63"")"),412000)</f>
        <v>412000</v>
      </c>
      <c r="N140" s="45">
        <f ca="1">IFERROR(__xludf.DUMMYFUNCTION("IMPORTRANGE(""https://docs.google.com/spreadsheets/d/1MeEWN-I1oV_STSDYn1IFDPWt_1FKiwhDph83XaGc0o0/edit?usp=sharing"",""งบพรบ!BS63"")"),412000)</f>
        <v>412000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40</v>
      </c>
      <c r="J143" s="37">
        <f ca="1">IF(AND(J144&gt;=I144,J145&gt;=I145),J145,0)</f>
        <v>40</v>
      </c>
      <c r="K143" s="38">
        <f ca="1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IFERROR(__xludf.DUMMYFUNCTION("IMPORTRANGE(""https://docs.google.com/spreadsheets/d/1QqKyyYR6Q21VydFLVH3TRQUabQu_ym0Zz7PgGX0-kHA/edit?usp=sharing"",""แผน!U63"")"),20)</f>
        <v>20</v>
      </c>
      <c r="J144" s="181">
        <v>40</v>
      </c>
      <c r="K144" s="38">
        <f t="shared" ref="K144:K145" ca="1" si="75">IF(I144&gt;0,J145*100/I144,0)</f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IFERROR(__xludf.DUMMYFUNCTION("IMPORTRANGE(""https://docs.google.com/spreadsheets/d/1QqKyyYR6Q21VydFLVH3TRQUabQu_ym0Zz7PgGX0-kHA/edit?usp=sharing"",""แผน!V63"")"),40)</f>
        <v>40</v>
      </c>
      <c r="J145" s="181">
        <v>40</v>
      </c>
      <c r="K145" s="38">
        <f t="shared" ca="1" si="75"/>
        <v>10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IFERROR(__xludf.DUMMYFUNCTION("IMPORTRANGE(""https://docs.google.com/spreadsheets/d/1QqKyyYR6Q21VydFLVH3TRQUabQu_ym0Zz7PgGX0-kHA/edit?usp=sharing"",""แผน!W63"")"),4)</f>
        <v>4</v>
      </c>
      <c r="J146" s="181">
        <v>4</v>
      </c>
      <c r="K146" s="38">
        <f ca="1">IF(I146&gt;0,J146*100/I146,0)</f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1680</v>
      </c>
      <c r="N149" s="154">
        <f t="shared" ca="1" si="77"/>
        <v>1680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1680</v>
      </c>
      <c r="N151" s="45">
        <f t="shared" ca="1" si="80"/>
        <v>1680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1680</v>
      </c>
      <c r="N152" s="38">
        <f t="shared" ca="1" si="81"/>
        <v>1680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IFERROR(__xludf.DUMMYFUNCTION("IMPORTRANGE(""https://docs.google.com/spreadsheets/d/1MeEWN-I1oV_STSDYn1IFDPWt_1FKiwhDph83XaGc0o0/edit?usp=sharing"",""งบพรบ!BU63"")"),0)</f>
        <v>0</v>
      </c>
      <c r="M154" s="45">
        <f ca="1">IFERROR(__xludf.DUMMYFUNCTION("IMPORTRANGE(""https://docs.google.com/spreadsheets/d/1MeEWN-I1oV_STSDYn1IFDPWt_1FKiwhDph83XaGc0o0/edit?usp=sharing"",""งบพรบ!BZ63"")"),1680)</f>
        <v>1680</v>
      </c>
      <c r="N154" s="45">
        <f ca="1">IFERROR(__xludf.DUMMYFUNCTION("IMPORTRANGE(""https://docs.google.com/spreadsheets/d/1MeEWN-I1oV_STSDYn1IFDPWt_1FKiwhDph83XaGc0o0/edit?usp=sharing"",""งบพรบ!CB63"")"),1680)</f>
        <v>1680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IFERROR(__xludf.DUMMYFUNCTION("IMPORTRANGE(""https://docs.google.com/spreadsheets/d/1MeEWN-I1oV_STSDYn1IFDPWt_1FKiwhDph83XaGc0o0/edit?usp=sharing"",""งบพรบ!BX63"")"),0)</f>
        <v>0</v>
      </c>
      <c r="M157" s="45">
        <f ca="1">IFERROR(__xludf.DUMMYFUNCTION("IMPORTRANGE(""https://docs.google.com/spreadsheets/d/1MeEWN-I1oV_STSDYn1IFDPWt_1FKiwhDph83XaGc0o0/edit?usp=sharing"",""งบพรบ!CA63"")"),0)</f>
        <v>0</v>
      </c>
      <c r="N157" s="45">
        <f ca="1">IFERROR(__xludf.DUMMYFUNCTION("IMPORTRANGE(""https://docs.google.com/spreadsheets/d/1MeEWN-I1oV_STSDYn1IFDPWt_1FKiwhDph83XaGc0o0/edit?usp=sharing"",""งบพรบ!CC63"")"),0)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IFERROR(__xludf.DUMMYFUNCTION("IMPORTRANGE(""https://docs.google.com/spreadsheets/d/1QqKyyYR6Q21VydFLVH3TRQUabQu_ym0Zz7PgGX0-kHA/edit?usp=sharing"",""แผน!X63"")"),0)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34430</v>
      </c>
      <c r="N165" s="154">
        <f t="shared" ca="1" si="84"/>
        <v>34430</v>
      </c>
      <c r="O165" s="154">
        <f t="shared" ref="O165:O173" ca="1" si="85">IF(L165&gt;0,N165*100/L165,0)</f>
        <v>163.56294536817103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34430</v>
      </c>
      <c r="N167" s="45">
        <f t="shared" ca="1" si="87"/>
        <v>34430</v>
      </c>
      <c r="O167" s="45">
        <f t="shared" ca="1" si="85"/>
        <v>163.56294536817103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34430</v>
      </c>
      <c r="N168" s="38">
        <f t="shared" ca="1" si="88"/>
        <v>34430</v>
      </c>
      <c r="O168" s="38">
        <f t="shared" ca="1" si="85"/>
        <v>163.56294536817103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IFERROR(__xludf.DUMMYFUNCTION("IMPORTRANGE(""https://docs.google.com/spreadsheets/d/1MeEWN-I1oV_STSDYn1IFDPWt_1FKiwhDph83XaGc0o0/edit?usp=sharing"",""งบพรบ!CE63"")"),21050)</f>
        <v>21050</v>
      </c>
      <c r="M170" s="45">
        <f ca="1">IFERROR(__xludf.DUMMYFUNCTION("IMPORTRANGE(""https://docs.google.com/spreadsheets/d/1MeEWN-I1oV_STSDYn1IFDPWt_1FKiwhDph83XaGc0o0/edit?usp=sharing"",""งบพรบ!CJ63"")"),34430)</f>
        <v>34430</v>
      </c>
      <c r="N170" s="45">
        <f ca="1">IFERROR(__xludf.DUMMYFUNCTION("IMPORTRANGE(""https://docs.google.com/spreadsheets/d/1MeEWN-I1oV_STSDYn1IFDPWt_1FKiwhDph83XaGc0o0/edit?usp=sharing"",""งบพรบ!CL63"")"),34430)</f>
        <v>34430</v>
      </c>
      <c r="O170" s="45">
        <f t="shared" ca="1" si="85"/>
        <v>163.56294536817103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IFERROR(__xludf.DUMMYFUNCTION("IMPORTRANGE(""https://docs.google.com/spreadsheets/d/1MeEWN-I1oV_STSDYn1IFDPWt_1FKiwhDph83XaGc0o0/edit?usp=sharing"",""งบพรบ!CH63"")"),0)</f>
        <v>0</v>
      </c>
      <c r="M173" s="45">
        <f ca="1">IFERROR(__xludf.DUMMYFUNCTION("IMPORTRANGE(""https://docs.google.com/spreadsheets/d/1MeEWN-I1oV_STSDYn1IFDPWt_1FKiwhDph83XaGc0o0/edit?usp=sharing"",""งบพรบ!CK63"")"),0)</f>
        <v>0</v>
      </c>
      <c r="N173" s="45">
        <f ca="1">IFERROR(__xludf.DUMMYFUNCTION("IMPORTRANGE(""https://docs.google.com/spreadsheets/d/1MeEWN-I1oV_STSDYn1IFDPWt_1FKiwhDph83XaGc0o0/edit?usp=sharing"",""งบพรบ!CM63"")"),0)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IFERROR(__xludf.DUMMYFUNCTION("IMPORTRANGE(""https://docs.google.com/spreadsheets/d/1QqKyyYR6Q21VydFLVH3TRQUabQu_ym0Zz7PgGX0-kHA/edit?usp=sharing"",""แผน!Y63"")"),10)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20</v>
      </c>
      <c r="J180" s="242">
        <f t="shared" si="91"/>
        <v>20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112000</v>
      </c>
      <c r="M181" s="154">
        <f t="shared" ca="1" si="92"/>
        <v>117720</v>
      </c>
      <c r="N181" s="154">
        <f t="shared" ca="1" si="92"/>
        <v>114658</v>
      </c>
      <c r="O181" s="154">
        <f t="shared" ref="O181:O189" ca="1" si="93">IF(L181&gt;0,N181*100/L181,0)</f>
        <v>102.37321428571428</v>
      </c>
      <c r="P181" s="154">
        <f t="shared" ref="P181:P189" ca="1" si="94">IF(M181&gt;0,N181*100/M181,0)</f>
        <v>97.398912674142025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112000</v>
      </c>
      <c r="M183" s="45">
        <f t="shared" ca="1" si="95"/>
        <v>117720</v>
      </c>
      <c r="N183" s="45">
        <f t="shared" ca="1" si="95"/>
        <v>114658</v>
      </c>
      <c r="O183" s="45">
        <f t="shared" ca="1" si="93"/>
        <v>102.37321428571428</v>
      </c>
      <c r="P183" s="45">
        <f t="shared" ca="1" si="94"/>
        <v>97.398912674142025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112000</v>
      </c>
      <c r="M184" s="38">
        <f t="shared" ca="1" si="96"/>
        <v>117720</v>
      </c>
      <c r="N184" s="38">
        <f t="shared" ca="1" si="96"/>
        <v>114658</v>
      </c>
      <c r="O184" s="38">
        <f t="shared" ca="1" si="93"/>
        <v>102.37321428571428</v>
      </c>
      <c r="P184" s="38">
        <f t="shared" ca="1" si="94"/>
        <v>97.398912674142025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IFERROR(__xludf.DUMMYFUNCTION("IMPORTRANGE(""https://docs.google.com/spreadsheets/d/1MeEWN-I1oV_STSDYn1IFDPWt_1FKiwhDph83XaGc0o0/edit?usp=sharing"",""งบพรบ!CO63"")"),112000)</f>
        <v>112000</v>
      </c>
      <c r="M186" s="45">
        <f ca="1">IFERROR(__xludf.DUMMYFUNCTION("IMPORTRANGE(""https://docs.google.com/spreadsheets/d/1MeEWN-I1oV_STSDYn1IFDPWt_1FKiwhDph83XaGc0o0/edit?usp=sharing"",""งบพรบ!CT63"")"),117720)</f>
        <v>117720</v>
      </c>
      <c r="N186" s="45">
        <f ca="1">IFERROR(__xludf.DUMMYFUNCTION("IMPORTRANGE(""https://docs.google.com/spreadsheets/d/1MeEWN-I1oV_STSDYn1IFDPWt_1FKiwhDph83XaGc0o0/edit?usp=sharing"",""งบพรบ!CV63"")"),114658)</f>
        <v>114658</v>
      </c>
      <c r="O186" s="45">
        <f t="shared" ca="1" si="93"/>
        <v>102.37321428571428</v>
      </c>
      <c r="P186" s="45">
        <f t="shared" ca="1" si="94"/>
        <v>97.398912674142025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IFERROR(__xludf.DUMMYFUNCTION("IMPORTRANGE(""https://docs.google.com/spreadsheets/d/1MeEWN-I1oV_STSDYn1IFDPWt_1FKiwhDph83XaGc0o0/edit?usp=sharing"",""งบพรบ!CR63"")"),0)</f>
        <v>0</v>
      </c>
      <c r="M189" s="45">
        <f ca="1">IFERROR(__xludf.DUMMYFUNCTION("IMPORTRANGE(""https://docs.google.com/spreadsheets/d/1MeEWN-I1oV_STSDYn1IFDPWt_1FKiwhDph83XaGc0o0/edit?usp=sharing"",""งบพรบ!CU63"")"),0)</f>
        <v>0</v>
      </c>
      <c r="N189" s="45">
        <f ca="1">IFERROR(__xludf.DUMMYFUNCTION("IMPORTRANGE(""https://docs.google.com/spreadsheets/d/1MeEWN-I1oV_STSDYn1IFDPWt_1FKiwhDph83XaGc0o0/edit?usp=sharing"",""งบพรบ!CW63"")"),0)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IFERROR(__xludf.DUMMYFUNCTION("IMPORTRANGE(""https://docs.google.com/spreadsheets/d/1QqKyyYR6Q21VydFLVH3TRQUabQu_ym0Zz7PgGX0-kHA/edit?usp=sharing"",""แผน!Z63"")"),6000)</f>
        <v>6000</v>
      </c>
      <c r="M191" s="154"/>
      <c r="N191" s="264">
        <v>2740</v>
      </c>
      <c r="O191" s="154">
        <f ca="1">IF(L191&gt;0,N191*100/L191,0)</f>
        <v>45.666666666666664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IFERROR(__xludf.DUMMYFUNCTION("IMPORTRANGE(""https://docs.google.com/spreadsheets/d/1QqKyyYR6Q21VydFLVH3TRQUabQu_ym0Zz7PgGX0-kHA/edit?usp=sharing"",""แผน!AC63"")"),4)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13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IFERROR(__xludf.DUMMYFUNCTION("IMPORTRANGE(""https://docs.google.com/spreadsheets/d/1QqKyyYR6Q21VydFLVH3TRQUabQu_ym0Zz7PgGX0-kHA/edit?usp=sharing"",""แผน!AE63"")"),3000)</f>
        <v>3000</v>
      </c>
      <c r="M199" s="38"/>
      <c r="N199" s="271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IFERROR(__xludf.DUMMYFUNCTION("IMPORTRANGE(""https://docs.google.com/spreadsheets/d/1QqKyyYR6Q21VydFLVH3TRQUabQu_ym0Zz7PgGX0-kHA/edit?usp=sharing"",""แผน!AF63"")"),24000)</f>
        <v>24000</v>
      </c>
      <c r="M200" s="38"/>
      <c r="N200" s="271">
        <v>24000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IFERROR(__xludf.DUMMYFUNCTION("IMPORTRANGE(""https://docs.google.com/spreadsheets/d/1QqKyyYR6Q21VydFLVH3TRQUabQu_ym0Zz7PgGX0-kHA/edit?usp=sharing"",""แผน!AG63"")"),12000)</f>
        <v>12000</v>
      </c>
      <c r="M201" s="38"/>
      <c r="N201" s="271">
        <v>12000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IFERROR(__xludf.DUMMYFUNCTION("IMPORTRANGE(""https://docs.google.com/spreadsheets/d/1QqKyyYR6Q21VydFLVH3TRQUabQu_ym0Zz7PgGX0-kHA/edit?usp=sharing"",""แผน!AH63"")"),0)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IFERROR(__xludf.DUMMYFUNCTION("IMPORTRANGE(""https://docs.google.com/spreadsheets/d/1QqKyyYR6Q21VydFLVH3TRQUabQu_ym0Zz7PgGX0-kHA/edit?usp=sharing"",""แผน!AI63"")"),3)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IFERROR(__xludf.DUMMYFUNCTION("IMPORTRANGE(""https://docs.google.com/spreadsheets/d/1QqKyyYR6Q21VydFLVH3TRQUabQu_ym0Zz7PgGX0-kHA/edit?usp=sharing"",""แผน!AK63"")"),0)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IFERROR(__xludf.DUMMYFUNCTION("IMPORTRANGE(""https://docs.google.com/spreadsheets/d/1QqKyyYR6Q21VydFLVH3TRQUabQu_ym0Zz7PgGX0-kHA/edit?usp=sharing"",""แผน!AL63"")"),0)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IFERROR(__xludf.DUMMYFUNCTION("IMPORTRANGE(""https://docs.google.com/spreadsheets/d/1QqKyyYR6Q21VydFLVH3TRQUabQu_ym0Zz7PgGX0-kHA/edit?usp=sharing"",""แผน!AM63"")"),0)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IFERROR(__xludf.DUMMYFUNCTION("IMPORTRANGE(""https://docs.google.com/spreadsheets/d/1QqKyyYR6Q21VydFLVH3TRQUabQu_ym0Zz7PgGX0-kHA/edit?usp=sharing"",""แผน!AN63"")"),0)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IFERROR(__xludf.DUMMYFUNCTION("IMPORTRANGE(""https://docs.google.com/spreadsheets/d/1QqKyyYR6Q21VydFLVH3TRQUabQu_ym0Zz7PgGX0-kHA/edit?usp=sharing"",""แผน!AN63"")"),0)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IFERROR(__xludf.DUMMYFUNCTION("IMPORTRANGE(""https://docs.google.com/spreadsheets/d/1QqKyyYR6Q21VydFLVH3TRQUabQu_ym0Zz7PgGX0-kHA/edit?usp=sharing"",""แผน!AP63"")"),3000)</f>
        <v>3000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IFERROR(__xludf.DUMMYFUNCTION("IMPORTRANGE(""https://docs.google.com/spreadsheets/d/1QqKyyYR6Q21VydFLVH3TRQUabQu_ym0Zz7PgGX0-kHA/edit?usp=sharing"",""แผน!AQ63"")"),5000)</f>
        <v>5000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IFERROR(__xludf.DUMMYFUNCTION("IMPORTRANGE(""https://docs.google.com/spreadsheets/d/1QqKyyYR6Q21VydFLVH3TRQUabQu_ym0Zz7PgGX0-kHA/edit?usp=sharing"",""แผน!AR63"")"),0)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IFERROR(__xludf.DUMMYFUNCTION("IMPORTRANGE(""https://docs.google.com/spreadsheets/d/1QqKyyYR6Q21VydFLVH3TRQUabQu_ym0Zz7PgGX0-kHA/edit?usp=sharing"",""แผน!AT63"")"),20000)</f>
        <v>20000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IFERROR(__xludf.DUMMYFUNCTION("IMPORTRANGE(""https://docs.google.com/spreadsheets/d/1QqKyyYR6Q21VydFLVH3TRQUabQu_ym0Zz7PgGX0-kHA/edit?usp=sharing"",""แผน!AT63"")"),20000)</f>
        <v>20000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IFERROR(__xludf.DUMMYFUNCTION("IMPORTRANGE(""https://docs.google.com/spreadsheets/d/1QqKyyYR6Q21VydFLVH3TRQUabQu_ym0Zz7PgGX0-kHA/edit?usp=sharing"",""แผน!AS63"")"),0)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20</v>
      </c>
      <c r="J226" s="330">
        <f t="shared" si="105"/>
        <v>20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59000</v>
      </c>
      <c r="M227" s="341"/>
      <c r="N227" s="341">
        <f t="shared" ref="N227:N231" si="107">N238+N249</f>
        <v>50150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17000</v>
      </c>
      <c r="M228" s="45"/>
      <c r="N228" s="45">
        <f t="shared" si="107"/>
        <v>8150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32000</v>
      </c>
      <c r="M229" s="45"/>
      <c r="N229" s="45">
        <f t="shared" si="107"/>
        <v>32000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20</v>
      </c>
      <c r="J233" s="44">
        <f t="shared" si="108"/>
        <v>20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350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20</v>
      </c>
      <c r="J237" s="260">
        <f t="shared" si="111"/>
        <v>20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59000</v>
      </c>
      <c r="M238" s="154"/>
      <c r="N238" s="154">
        <f>N239+N240+N241+N242</f>
        <v>50150</v>
      </c>
      <c r="O238" s="154">
        <f ca="1">IF(L238&gt;0,N238*100/L238,0)</f>
        <v>85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IFERROR(__xludf.DUMMYFUNCTION("IMPORTRANGE(""https://docs.google.com/spreadsheets/d/1QqKyyYR6Q21VydFLVH3TRQUabQu_ym0Zz7PgGX0-kHA/edit?usp=sharing"",""แผน!AV63"")"),17000)</f>
        <v>17000</v>
      </c>
      <c r="M239" s="270"/>
      <c r="N239" s="808">
        <v>8150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IFERROR(__xludf.DUMMYFUNCTION("IMPORTRANGE(""https://docs.google.com/spreadsheets/d/1QqKyyYR6Q21VydFLVH3TRQUabQu_ym0Zz7PgGX0-kHA/edit?usp=sharing"",""แผน!AW63"")"),32000)</f>
        <v>32000</v>
      </c>
      <c r="M240" s="270"/>
      <c r="N240" s="808">
        <v>32000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IFERROR(__xludf.DUMMYFUNCTION("IMPORTRANGE(""https://docs.google.com/spreadsheets/d/1QqKyyYR6Q21VydFLVH3TRQUabQu_ym0Zz7PgGX0-kHA/edit?usp=sharing"",""แผน!AX63"")"),0)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IFERROR(__xludf.DUMMYFUNCTION("IMPORTRANGE(""https://docs.google.com/spreadsheets/d/1QqKyyYR6Q21VydFLVH3TRQUabQu_ym0Zz7PgGX0-kHA/edit?usp=sharing"",""แผน!AY63"")"),10000)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IFERROR(__xludf.DUMMYFUNCTION("IMPORTRANGE(""https://docs.google.com/spreadsheets/d/1QqKyyYR6Q21VydFLVH3TRQUabQu_ym0Zz7PgGX0-kHA/edit?usp=sharing"",""แผน!BE63"")"),20)</f>
        <v>20</v>
      </c>
      <c r="J244" s="181">
        <v>20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IFERROR(__xludf.DUMMYFUNCTION("IMPORTRANGE(""https://docs.google.com/spreadsheets/d/1QqKyyYR6Q21VydFLVH3TRQUabQu_ym0Zz7PgGX0-kHA/edit?usp=sharing"",""แผน!AZ63"")"),0)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IFERROR(__xludf.DUMMYFUNCTION("IMPORTRANGE(""https://docs.google.com/spreadsheets/d/1QqKyyYR6Q21VydFLVH3TRQUabQu_ym0Zz7PgGX0-kHA/edit?usp=sharing"",""แผน!BA63"")"),0)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IFERROR(__xludf.DUMMYFUNCTION("IMPORTRANGE(""https://docs.google.com/spreadsheets/d/1QqKyyYR6Q21VydFLVH3TRQUabQu_ym0Zz7PgGX0-kHA/edit?usp=sharing"",""แผน!BB63"")"),0)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IFERROR(__xludf.DUMMYFUNCTION("IMPORTRANGE(""https://docs.google.com/spreadsheets/d/1QqKyyYR6Q21VydFLVH3TRQUabQu_ym0Zz7PgGX0-kHA/edit?usp=sharing"",""แผน!BC63"")"),0)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IFERROR(__xludf.DUMMYFUNCTION("IMPORTRANGE(""https://docs.google.com/spreadsheets/d/1MeEWN-I1oV_STSDYn1IFDPWt_1FKiwhDph83XaGc0o0/edit?usp=sharing"",""งบพรบ!CY63"")"),26900)</f>
        <v>26900</v>
      </c>
      <c r="M266" s="45">
        <f ca="1">IFERROR(__xludf.DUMMYFUNCTION("IMPORTRANGE(""https://docs.google.com/spreadsheets/d/1MeEWN-I1oV_STSDYn1IFDPWt_1FKiwhDph83XaGc0o0/edit?usp=sharing"",""งบพรบ!DD63"")"),26900)</f>
        <v>26900</v>
      </c>
      <c r="N266" s="45">
        <f ca="1">IFERROR(__xludf.DUMMYFUNCTION("IMPORTRANGE(""https://docs.google.com/spreadsheets/d/1MeEWN-I1oV_STSDYn1IFDPWt_1FKiwhDph83XaGc0o0/edit?usp=sharing"",""งบพรบ!DF63"")"),23900)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IFERROR(__xludf.DUMMYFUNCTION("IMPORTRANGE(""https://docs.google.com/spreadsheets/d/1MeEWN-I1oV_STSDYn1IFDPWt_1FKiwhDph83XaGc0o0/edit?usp=sharing"",""งบพรบ!DB63"")"),0)</f>
        <v>0</v>
      </c>
      <c r="M269" s="45">
        <f ca="1">IFERROR(__xludf.DUMMYFUNCTION("IMPORTRANGE(""https://docs.google.com/spreadsheets/d/1MeEWN-I1oV_STSDYn1IFDPWt_1FKiwhDph83XaGc0o0/edit?usp=sharing"",""งบพรบ!DE63"")"),0)</f>
        <v>0</v>
      </c>
      <c r="N269" s="45">
        <f ca="1">IFERROR(__xludf.DUMMYFUNCTION("IMPORTRANGE(""https://docs.google.com/spreadsheets/d/1MeEWN-I1oV_STSDYn1IFDPWt_1FKiwhDph83XaGc0o0/edit?usp=sharing"",""งบพรบ!DG63"")"),0)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IFERROR(__xludf.DUMMYFUNCTION("IMPORTRANGE(""https://docs.google.com/spreadsheets/d/1QqKyyYR6Q21VydFLVH3TRQUabQu_ym0Zz7PgGX0-kHA/edit?usp=sharing"",""แผน!EA63"")"),22)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IFERROR(__xludf.DUMMYFUNCTION("IMPORTRANGE(""https://docs.google.com/spreadsheets/d/1MeEWN-I1oV_STSDYn1IFDPWt_1FKiwhDph83XaGc0o0/edit?usp=sharing"",""งบพรบ!DI63"")"),0)</f>
        <v>0</v>
      </c>
      <c r="M282" s="45">
        <f ca="1">IFERROR(__xludf.DUMMYFUNCTION("IMPORTRANGE(""https://docs.google.com/spreadsheets/d/1MeEWN-I1oV_STSDYn1IFDPWt_1FKiwhDph83XaGc0o0/edit?usp=sharing"",""งบพรบ!DN63"")"),0)</f>
        <v>0</v>
      </c>
      <c r="N282" s="45">
        <f ca="1">IFERROR(__xludf.DUMMYFUNCTION("IMPORTRANGE(""https://docs.google.com/spreadsheets/d/1MeEWN-I1oV_STSDYn1IFDPWt_1FKiwhDph83XaGc0o0/edit?usp=sharing"",""งบพรบ!DP63"")"),0)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IFERROR(__xludf.DUMMYFUNCTION("IMPORTRANGE(""https://docs.google.com/spreadsheets/d/1MeEWN-I1oV_STSDYn1IFDPWt_1FKiwhDph83XaGc0o0/edit?usp=sharing"",""งบพรบ!DL63"")"),0)</f>
        <v>0</v>
      </c>
      <c r="M285" s="45">
        <f ca="1">IFERROR(__xludf.DUMMYFUNCTION("IMPORTRANGE(""https://docs.google.com/spreadsheets/d/1MeEWN-I1oV_STSDYn1IFDPWt_1FKiwhDph83XaGc0o0/edit?usp=sharing"",""งบพรบ!DO63"")"),0)</f>
        <v>0</v>
      </c>
      <c r="N285" s="45">
        <f ca="1">IFERROR(__xludf.DUMMYFUNCTION("IMPORTRANGE(""https://docs.google.com/spreadsheets/d/1MeEWN-I1oV_STSDYn1IFDPWt_1FKiwhDph83XaGc0o0/edit?usp=sharing"",""งบพรบ!DQ63"")"),0)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IFERROR(__xludf.DUMMYFUNCTION("IMPORTRANGE(""https://docs.google.com/spreadsheets/d/1QqKyyYR6Q21VydFLVH3TRQUabQu_ym0Zz7PgGX0-kHA/edit?usp=sharing"",""แผน!EC63"")"),0)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IFERROR(__xludf.DUMMYFUNCTION("IMPORTRANGE(""https://docs.google.com/spreadsheets/d/1QqKyyYR6Q21VydFLVH3TRQUabQu_ym0Zz7PgGX0-kHA/edit?usp=sharing"",""แผน!EB63"")"),0)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IFERROR(__xludf.DUMMYFUNCTION("IMPORTRANGE(""https://docs.google.com/spreadsheets/d/1QqKyyYR6Q21VydFLVH3TRQUabQu_ym0Zz7PgGX0-kHA/edit?usp=sharing"",""แผน!EB63"")"),0)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IFERROR(__xludf.DUMMYFUNCTION("IMPORTRANGE(""https://docs.google.com/spreadsheets/d/1QqKyyYR6Q21VydFLVH3TRQUabQu_ym0Zz7PgGX0-kHA/edit?usp=sharing"",""แผน!EB63"")"),0)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IFERROR(__xludf.DUMMYFUNCTION("IMPORTRANGE(""https://docs.google.com/spreadsheets/d/1QqKyyYR6Q21VydFLVH3TRQUabQu_ym0Zz7PgGX0-kHA/edit?usp=sharing"",""แผน!EB63"")"),0)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IFERROR(__xludf.DUMMYFUNCTION("IMPORTRANGE(""https://docs.google.com/spreadsheets/d/1QqKyyYR6Q21VydFLVH3TRQUabQu_ym0Zz7PgGX0-kHA/edit?usp=sharing"",""แผน!EB63"")"),0)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15</v>
      </c>
      <c r="J297" s="421">
        <f t="shared" si="134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206800</v>
      </c>
      <c r="M298" s="154">
        <f t="shared" ca="1" si="135"/>
        <v>211210</v>
      </c>
      <c r="N298" s="154">
        <f t="shared" ca="1" si="135"/>
        <v>166600</v>
      </c>
      <c r="O298" s="154">
        <f t="shared" ref="O298:O306" ca="1" si="136">IF(L298&gt;0,N298*100/L298,0)</f>
        <v>80.560928433268856</v>
      </c>
      <c r="P298" s="154">
        <f t="shared" ref="P298:P306" ca="1" si="137">IF(M298&gt;0,N298*100/M298,0)</f>
        <v>78.878840963969509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206800</v>
      </c>
      <c r="M300" s="45">
        <f t="shared" ca="1" si="138"/>
        <v>211210</v>
      </c>
      <c r="N300" s="45">
        <f t="shared" ca="1" si="138"/>
        <v>166600</v>
      </c>
      <c r="O300" s="45">
        <f t="shared" ca="1" si="136"/>
        <v>80.560928433268856</v>
      </c>
      <c r="P300" s="45">
        <f t="shared" ca="1" si="137"/>
        <v>78.878840963969509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206800</v>
      </c>
      <c r="M301" s="38">
        <f t="shared" ca="1" si="139"/>
        <v>211210</v>
      </c>
      <c r="N301" s="38">
        <f t="shared" ca="1" si="139"/>
        <v>166600</v>
      </c>
      <c r="O301" s="38">
        <f t="shared" ca="1" si="136"/>
        <v>80.560928433268856</v>
      </c>
      <c r="P301" s="38">
        <f t="shared" ca="1" si="137"/>
        <v>78.878840963969509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IFERROR(__xludf.DUMMYFUNCTION("IMPORTRANGE(""https://docs.google.com/spreadsheets/d/1MeEWN-I1oV_STSDYn1IFDPWt_1FKiwhDph83XaGc0o0/edit?usp=sharing"",""งบพรบ!DS63"")"),206800)</f>
        <v>206800</v>
      </c>
      <c r="M303" s="45">
        <f ca="1">IFERROR(__xludf.DUMMYFUNCTION("IMPORTRANGE(""https://docs.google.com/spreadsheets/d/1MeEWN-I1oV_STSDYn1IFDPWt_1FKiwhDph83XaGc0o0/edit?usp=sharing"",""งบพรบ!DX63"")"),211210)</f>
        <v>211210</v>
      </c>
      <c r="N303" s="45">
        <f ca="1">IFERROR(__xludf.DUMMYFUNCTION("IMPORTRANGE(""https://docs.google.com/spreadsheets/d/1MeEWN-I1oV_STSDYn1IFDPWt_1FKiwhDph83XaGc0o0/edit?usp=sharing"",""งบพรบ!DZ63"")"),166600)</f>
        <v>166600</v>
      </c>
      <c r="O303" s="45">
        <f t="shared" ca="1" si="136"/>
        <v>80.560928433268856</v>
      </c>
      <c r="P303" s="45">
        <f t="shared" ca="1" si="137"/>
        <v>78.878840963969509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IFERROR(__xludf.DUMMYFUNCTION("IMPORTRANGE(""https://docs.google.com/spreadsheets/d/1MeEWN-I1oV_STSDYn1IFDPWt_1FKiwhDph83XaGc0o0/edit?usp=sharing"",""งบพรบ!DV63"")"),0)</f>
        <v>0</v>
      </c>
      <c r="M306" s="45">
        <f ca="1">IFERROR(__xludf.DUMMYFUNCTION("IMPORTRANGE(""https://docs.google.com/spreadsheets/d/1MeEWN-I1oV_STSDYn1IFDPWt_1FKiwhDph83XaGc0o0/edit?usp=sharing"",""งบพรบ!DY63"")"),0)</f>
        <v>0</v>
      </c>
      <c r="N306" s="45">
        <f ca="1">IFERROR(__xludf.DUMMYFUNCTION("IMPORTRANGE(""https://docs.google.com/spreadsheets/d/1MeEWN-I1oV_STSDYn1IFDPWt_1FKiwhDph83XaGc0o0/edit?usp=sharing"",""งบพรบ!EA63"")"),0)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IFERROR(__xludf.DUMMYFUNCTION("IMPORTRANGE(""https://docs.google.com/spreadsheets/d/1QqKyyYR6Q21VydFLVH3TRQUabQu_ym0Zz7PgGX0-kHA/edit?usp=sharing"",""แผน!ED63"")"),15)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IFERROR(__xludf.DUMMYFUNCTION("IMPORTRANGE(""https://docs.google.com/spreadsheets/d/1QqKyyYR6Q21VydFLVH3TRQUabQu_ym0Zz7PgGX0-kHA/edit?usp=sharing"",""แผน!ED63"")"),15)</f>
        <v>15</v>
      </c>
      <c r="J310" s="181">
        <v>15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IFERROR(__xludf.DUMMYFUNCTION("IMPORTRANGE(""https://docs.google.com/spreadsheets/d/1QqKyyYR6Q21VydFLVH3TRQUabQu_ym0Zz7PgGX0-kHA/edit?usp=sharing"",""แผน!ED63"")"),15)</f>
        <v>15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IFERROR(__xludf.DUMMYFUNCTION("IMPORTRANGE(""https://docs.google.com/spreadsheets/d/1QqKyyYR6Q21VydFLVH3TRQUabQu_ym0Zz7PgGX0-kHA/edit?usp=sharing"",""แผน!EE63"")"),3)</f>
        <v>3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IFERROR(__xludf.DUMMYFUNCTION("IMPORTRANGE(""https://docs.google.com/spreadsheets/d/1MeEWN-I1oV_STSDYn1IFDPWt_1FKiwhDph83XaGc0o0/edit?usp=sharing"",""งบพรบ!EC63"")"),0)</f>
        <v>0</v>
      </c>
      <c r="M320" s="45">
        <f ca="1">IFERROR(__xludf.DUMMYFUNCTION("IMPORTRANGE(""https://docs.google.com/spreadsheets/d/1MeEWN-I1oV_STSDYn1IFDPWt_1FKiwhDph83XaGc0o0/edit?usp=sharing"",""งบพรบ!EH63"")"),0)</f>
        <v>0</v>
      </c>
      <c r="N320" s="45">
        <f ca="1">IFERROR(__xludf.DUMMYFUNCTION("IMPORTRANGE(""https://docs.google.com/spreadsheets/d/1MeEWN-I1oV_STSDYn1IFDPWt_1FKiwhDph83XaGc0o0/edit?usp=sharing"",""งบพรบ!EJ63"")"),0)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IFERROR(__xludf.DUMMYFUNCTION("IMPORTRANGE(""https://docs.google.com/spreadsheets/d/1MeEWN-I1oV_STSDYn1IFDPWt_1FKiwhDph83XaGc0o0/edit?usp=sharing"",""งบพรบ!EF63"")"),0)</f>
        <v>0</v>
      </c>
      <c r="M323" s="45">
        <f ca="1">IFERROR(__xludf.DUMMYFUNCTION("IMPORTRANGE(""https://docs.google.com/spreadsheets/d/1MeEWN-I1oV_STSDYn1IFDPWt_1FKiwhDph83XaGc0o0/edit?usp=sharing"",""งบพรบ!EI63"")"),0)</f>
        <v>0</v>
      </c>
      <c r="N323" s="45">
        <f ca="1">IFERROR(__xludf.DUMMYFUNCTION("IMPORTRANGE(""https://docs.google.com/spreadsheets/d/1MeEWN-I1oV_STSDYn1IFDPWt_1FKiwhDph83XaGc0o0/edit?usp=sharing"",""งบพรบ!EK63"")"),0)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IFERROR(__xludf.DUMMYFUNCTION("IMPORTRANGE(""https://docs.google.com/spreadsheets/d/1QqKyyYR6Q21VydFLVH3TRQUabQu_ym0Zz7PgGX0-kHA/edit?usp=sharing"",""แผน!EG63"")"),1000)</f>
        <v>1000</v>
      </c>
      <c r="J327" s="421">
        <f ca="1">J338+J341+J342+J343</f>
        <v>1708</v>
      </c>
      <c r="K327" s="422">
        <f ca="1">IF(I327&gt;0,J327*100/I327,0)</f>
        <v>170.8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159000</v>
      </c>
      <c r="M328" s="154">
        <f t="shared" ca="1" si="149"/>
        <v>161500</v>
      </c>
      <c r="N328" s="154">
        <f t="shared" ca="1" si="149"/>
        <v>131500</v>
      </c>
      <c r="O328" s="154">
        <f t="shared" ref="O328:O336" ca="1" si="150">IF(L328&gt;0,N328*100/L328,0)</f>
        <v>82.704402515723274</v>
      </c>
      <c r="P328" s="154">
        <f t="shared" ref="P328:P336" ca="1" si="151">IF(M328&gt;0,N328*100/M328,0)</f>
        <v>81.424148606811144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159000</v>
      </c>
      <c r="M330" s="45">
        <f t="shared" ca="1" si="152"/>
        <v>161500</v>
      </c>
      <c r="N330" s="45">
        <f t="shared" ca="1" si="152"/>
        <v>131500</v>
      </c>
      <c r="O330" s="45">
        <f t="shared" ca="1" si="150"/>
        <v>82.704402515723274</v>
      </c>
      <c r="P330" s="45">
        <f t="shared" ca="1" si="151"/>
        <v>81.424148606811144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159000</v>
      </c>
      <c r="M331" s="38">
        <f t="shared" ca="1" si="153"/>
        <v>161500</v>
      </c>
      <c r="N331" s="38">
        <f t="shared" ca="1" si="153"/>
        <v>131500</v>
      </c>
      <c r="O331" s="38">
        <f t="shared" ca="1" si="150"/>
        <v>82.704402515723274</v>
      </c>
      <c r="P331" s="38">
        <f t="shared" ca="1" si="151"/>
        <v>81.424148606811144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IFERROR(__xludf.DUMMYFUNCTION("IMPORTRANGE(""https://docs.google.com/spreadsheets/d/1MeEWN-I1oV_STSDYn1IFDPWt_1FKiwhDph83XaGc0o0/edit?usp=sharing"",""งบพรบ!EM63"")"),159000)</f>
        <v>159000</v>
      </c>
      <c r="M333" s="45">
        <f ca="1">IFERROR(__xludf.DUMMYFUNCTION("IMPORTRANGE(""https://docs.google.com/spreadsheets/d/1MeEWN-I1oV_STSDYn1IFDPWt_1FKiwhDph83XaGc0o0/edit?usp=sharing"",""งบพรบ!ER63"")"),161500)</f>
        <v>161500</v>
      </c>
      <c r="N333" s="45">
        <f ca="1">IFERROR(__xludf.DUMMYFUNCTION("IMPORTRANGE(""https://docs.google.com/spreadsheets/d/1MeEWN-I1oV_STSDYn1IFDPWt_1FKiwhDph83XaGc0o0/edit?usp=sharing"",""งบพรบ!ET63"")"),131500)</f>
        <v>131500</v>
      </c>
      <c r="O333" s="45">
        <f t="shared" ca="1" si="150"/>
        <v>82.704402515723274</v>
      </c>
      <c r="P333" s="45">
        <f t="shared" ca="1" si="151"/>
        <v>81.424148606811144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IFERROR(__xludf.DUMMYFUNCTION("IMPORTRANGE(""https://docs.google.com/spreadsheets/d/1MeEWN-I1oV_STSDYn1IFDPWt_1FKiwhDph83XaGc0o0/edit?usp=sharing"",""งบพรบ!EP63"")"),0)</f>
        <v>0</v>
      </c>
      <c r="M336" s="45">
        <f ca="1">IFERROR(__xludf.DUMMYFUNCTION("IMPORTRANGE(""https://docs.google.com/spreadsheets/d/1MeEWN-I1oV_STSDYn1IFDPWt_1FKiwhDph83XaGc0o0/edit?usp=sharing"",""งบพรบ!ES63"")"),0)</f>
        <v>0</v>
      </c>
      <c r="N336" s="45">
        <f ca="1">IFERROR(__xludf.DUMMYFUNCTION("IMPORTRANGE(""https://docs.google.com/spreadsheets/d/1MeEWN-I1oV_STSDYn1IFDPWt_1FKiwhDph83XaGc0o0/edit?usp=sharing"",""งบพรบ!EU63"")"),0)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IFERROR(__xludf.DUMMYFUNCTION("IMPORTRANGE(""https://docs.google.com/spreadsheets/d/1QqKyyYR6Q21VydFLVH3TRQUabQu_ym0Zz7PgGX0-kHA/edit?usp=sharing"",""แผน!EG63"")"),1000)</f>
        <v>1000</v>
      </c>
      <c r="J338" s="37">
        <f ca="1">IFERROR(__xludf.DUMMYFUNCTION("IMPORTRANGE(""https://docs.google.com/spreadsheets/d/1kVcqe37tkHyjCSG3S0O1AXqVkqjo8mSIZil3BcpIysc/edit?usp=sharing"",""ศูนย์!D63"")"),1615)</f>
        <v>1615</v>
      </c>
      <c r="K338" s="38">
        <f ca="1">IF(I338&gt;0,J338*100/I338,0)</f>
        <v>161.5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IFERROR(__xludf.DUMMYFUNCTION("IMPORTRANGE(""https://docs.google.com/spreadsheets/d/1QqKyyYR6Q21VydFLVH3TRQUabQu_ym0Zz7PgGX0-kHA/edit?usp=sharing"",""แผน!EH63"")"),3)</f>
        <v>3</v>
      </c>
      <c r="J340" s="37">
        <f ca="1">IFERROR(__xludf.DUMMYFUNCTION("IMPORTRANGE(""https://docs.google.com/spreadsheets/d/1kVcqe37tkHyjCSG3S0O1AXqVkqjo8mSIZil3BcpIysc/edit?usp=sharing"",""ศูนย์!E63"")"),6)</f>
        <v>6</v>
      </c>
      <c r="K340" s="38">
        <f ca="1">IF(I340&gt;0,J340*100/I340,0)</f>
        <v>200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IFERROR(__xludf.DUMMYFUNCTION("IMPORTRANGE(""https://docs.google.com/spreadsheets/d/1kVcqe37tkHyjCSG3S0O1AXqVkqjo8mSIZil3BcpIysc/edit?usp=sharing"",""ศูนย์!F63"")"),93)</f>
        <v>93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IFERROR(__xludf.DUMMYFUNCTION("IMPORTRANGE(""https://docs.google.com/spreadsheets/d/1kVcqe37tkHyjCSG3S0O1AXqVkqjo8mSIZil3BcpIysc/edit?usp=sharing"",""ศูนย์!G63"")"),0)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IFERROR(__xludf.DUMMYFUNCTION("IMPORTRANGE(""https://docs.google.com/spreadsheets/d/1kVcqe37tkHyjCSG3S0O1AXqVkqjo8mSIZil3BcpIysc/edit?usp=sharing"",""ศูนย์!H63"")"),0)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774650</v>
      </c>
      <c r="M345" s="154">
        <f t="shared" ca="1" si="155"/>
        <v>834650</v>
      </c>
      <c r="N345" s="154">
        <f t="shared" ca="1" si="155"/>
        <v>632280.44999999995</v>
      </c>
      <c r="O345" s="154">
        <f t="shared" ref="O345:O353" ca="1" si="156">IF(L345&gt;0,N345*100/L345,0)</f>
        <v>81.621435486994116</v>
      </c>
      <c r="P345" s="154">
        <f t="shared" ref="P345:P353" ca="1" si="157">IF(M345&gt;0,N345*100/M345,0)</f>
        <v>75.753962738872573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774650</v>
      </c>
      <c r="M347" s="45">
        <f t="shared" ca="1" si="158"/>
        <v>834650</v>
      </c>
      <c r="N347" s="45">
        <f t="shared" ca="1" si="158"/>
        <v>632280.44999999995</v>
      </c>
      <c r="O347" s="45">
        <f t="shared" ca="1" si="156"/>
        <v>81.621435486994116</v>
      </c>
      <c r="P347" s="45">
        <f t="shared" ca="1" si="157"/>
        <v>75.753962738872573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585250</v>
      </c>
      <c r="M348" s="38">
        <f t="shared" ca="1" si="159"/>
        <v>645250</v>
      </c>
      <c r="N348" s="38">
        <f t="shared" ca="1" si="159"/>
        <v>442880.45</v>
      </c>
      <c r="O348" s="38">
        <f t="shared" ca="1" si="156"/>
        <v>75.673720632208457</v>
      </c>
      <c r="P348" s="38">
        <f t="shared" ca="1" si="157"/>
        <v>68.63703215807827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IFERROR(__xludf.DUMMYFUNCTION("IMPORTRANGE(""https://docs.google.com/spreadsheets/d/1MeEWN-I1oV_STSDYn1IFDPWt_1FKiwhDph83XaGc0o0/edit?usp=sharing"",""งบพรบ!EW63"")"),585250)</f>
        <v>585250</v>
      </c>
      <c r="M350" s="45">
        <f ca="1">IFERROR(__xludf.DUMMYFUNCTION("IMPORTRANGE(""https://docs.google.com/spreadsheets/d/1MeEWN-I1oV_STSDYn1IFDPWt_1FKiwhDph83XaGc0o0/edit?usp=sharing"",""งบพรบ!FB63"")"),645250)</f>
        <v>645250</v>
      </c>
      <c r="N350" s="45">
        <f ca="1">IFERROR(__xludf.DUMMYFUNCTION("IMPORTRANGE(""https://docs.google.com/spreadsheets/d/1MeEWN-I1oV_STSDYn1IFDPWt_1FKiwhDph83XaGc0o0/edit?usp=sharing"",""งบพรบ!FD63"")"),442880.45)</f>
        <v>442880.45</v>
      </c>
      <c r="O350" s="45">
        <f t="shared" ca="1" si="156"/>
        <v>75.673720632208457</v>
      </c>
      <c r="P350" s="45">
        <f t="shared" ca="1" si="157"/>
        <v>68.63703215807827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189400</v>
      </c>
      <c r="M351" s="38">
        <f t="shared" ca="1" si="160"/>
        <v>189400</v>
      </c>
      <c r="N351" s="38">
        <f t="shared" ca="1" si="160"/>
        <v>189400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IFERROR(__xludf.DUMMYFUNCTION("IMPORTRANGE(""https://docs.google.com/spreadsheets/d/1MeEWN-I1oV_STSDYn1IFDPWt_1FKiwhDph83XaGc0o0/edit?usp=sharing"",""งบพรบ!EZ63"")"),189400)</f>
        <v>189400</v>
      </c>
      <c r="M353" s="45">
        <f ca="1">IFERROR(__xludf.DUMMYFUNCTION("IMPORTRANGE(""https://docs.google.com/spreadsheets/d/1MeEWN-I1oV_STSDYn1IFDPWt_1FKiwhDph83XaGc0o0/edit?usp=sharing"",""งบพรบ!FC63"")"),189400)</f>
        <v>189400</v>
      </c>
      <c r="N353" s="45">
        <f ca="1">IFERROR(__xludf.DUMMYFUNCTION("IMPORTRANGE(""https://docs.google.com/spreadsheets/d/1MeEWN-I1oV_STSDYn1IFDPWt_1FKiwhDph83XaGc0o0/edit?usp=sharing"",""งบพรบ!FE63"")"),189400)</f>
        <v>189400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IFERROR(__xludf.DUMMYFUNCTION("IMPORTRANGE(""https://docs.google.com/spreadsheets/d/1QqKyyYR6Q21VydFLVH3TRQUabQu_ym0Zz7PgGX0-kHA/edit?usp=sharing"",""แผน!EP63"")"),40)</f>
        <v>40</v>
      </c>
      <c r="J355" s="438">
        <f ca="1">J362</f>
        <v>25</v>
      </c>
      <c r="K355" s="439">
        <f ca="1">IF(I355&gt;0,J355*100/I355,0)</f>
        <v>62.5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IFERROR(__xludf.DUMMYFUNCTION("IMPORTRANGE(""https://docs.google.com/spreadsheets/d/1XWAQStnk-4SwqDmLtmXYiTMKHgktTP8We1SCoS47DrQ/edit?usp=sharing"",""จัดที่ดิน!W63"")"),20)</f>
        <v>20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IFERROR(__xludf.DUMMYFUNCTION("IMPORTRANGE(""https://docs.google.com/spreadsheets/d/1QqKyyYR6Q21VydFLVH3TRQUabQu_ym0Zz7PgGX0-kHA/edit?usp=sharing"",""แผน!EO63"")"),500)</f>
        <v>500</v>
      </c>
      <c r="J359" s="37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38">
        <f t="shared" ca="1" si="161"/>
        <v>100.58399999999979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IFERROR(__xludf.DUMMYFUNCTION("IMPORTRANGE(""https://docs.google.com/spreadsheets/d/1QqKyyYR6Q21VydFLVH3TRQUabQu_ym0Zz7PgGX0-kHA/edit?usp=sharing"",""แผน!EP63"")"),40)</f>
        <v>40</v>
      </c>
      <c r="J360" s="37">
        <f ca="1">IFERROR(__xludf.DUMMYFUNCTION("IMPORTRANGE(""https://docs.google.com/spreadsheets/d/1XWAQStnk-4SwqDmLtmXYiTMKHgktTP8We1SCoS47DrQ/edit?usp=sharing"",""จัดที่ดิน!Y63"")"),17)</f>
        <v>17</v>
      </c>
      <c r="K360" s="38">
        <f t="shared" ca="1" si="161"/>
        <v>42.5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IFERROR(__xludf.DUMMYFUNCTION("IMPORTRANGE(""https://docs.google.com/spreadsheets/d/1XWAQStnk-4SwqDmLtmXYiTMKHgktTP8We1SCoS47DrQ/edit?usp=sharing"",""จัดที่ดิน!Z63"")"),454.25)</f>
        <v>454.25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IFERROR(__xludf.DUMMYFUNCTION("IMPORTRANGE(""https://docs.google.com/spreadsheets/d/1QqKyyYR6Q21VydFLVH3TRQUabQu_ym0Zz7PgGX0-kHA/edit?usp=sharing"",""แผน!EP63"")"),40)</f>
        <v>40</v>
      </c>
      <c r="J362" s="37">
        <f ca="1">IFERROR(__xludf.DUMMYFUNCTION("IMPORTRANGE(""https://docs.google.com/spreadsheets/d/1XWAQStnk-4SwqDmLtmXYiTMKHgktTP8We1SCoS47DrQ/edit?usp=sharing"",""จัดที่ดิน!AA63"")"),25)</f>
        <v>25</v>
      </c>
      <c r="K362" s="38">
        <f t="shared" ca="1" si="161"/>
        <v>62.5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IFERROR(__xludf.DUMMYFUNCTION("IMPORTRANGE(""https://docs.google.com/spreadsheets/d/1XWAQStnk-4SwqDmLtmXYiTMKHgktTP8We1SCoS47DrQ/edit?usp=sharing"",""จัดที่ดิน!AB63"")"),504.28)</f>
        <v>504.28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80</v>
      </c>
      <c r="J364" s="452">
        <f t="shared" ca="1" si="162"/>
        <v>121</v>
      </c>
      <c r="K364" s="453">
        <f t="shared" ca="1" si="161"/>
        <v>151.25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IFERROR(__xludf.DUMMYFUNCTION("IMPORTRANGE(""https://docs.google.com/spreadsheets/d/1QqKyyYR6Q21VydFLVH3TRQUabQu_ym0Zz7PgGX0-kHA/edit?usp=sharing"",""แผน!EJ63"")"),16)</f>
        <v>16</v>
      </c>
      <c r="J365" s="462">
        <f ca="1">J372</f>
        <v>16</v>
      </c>
      <c r="K365" s="463">
        <f t="shared" ca="1" si="161"/>
        <v>100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IFERROR(__xludf.DUMMYFUNCTION("IMPORTRANGE(""https://docs.google.com/spreadsheets/d/1XWAQStnk-4SwqDmLtmXYiTMKHgktTP8We1SCoS47DrQ/edit?usp=sharing"",""จัดที่ดิน!E63"")"),11)</f>
        <v>11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IFERROR(__xludf.DUMMYFUNCTION("IMPORTRANGE(""https://docs.google.com/spreadsheets/d/1QqKyyYR6Q21VydFLVH3TRQUabQu_ym0Zz7PgGX0-kHA/edit?usp=sharing"",""แผน!EI63"")"),200)</f>
        <v>200</v>
      </c>
      <c r="J369" s="37">
        <f ca="1">IFERROR(__xludf.DUMMYFUNCTION("IMPORTRANGE(""https://docs.google.com/spreadsheets/d/1XWAQStnk-4SwqDmLtmXYiTMKHgktTP8We1SCoS47DrQ/edit?usp=sharing"",""จัดที่ดิน!F63"")"),403.89)</f>
        <v>403.89</v>
      </c>
      <c r="K369" s="38">
        <f t="shared" ca="1" si="163"/>
        <v>201.94499999999999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IFERROR(__xludf.DUMMYFUNCTION("IMPORTRANGE(""https://docs.google.com/spreadsheets/d/1QqKyyYR6Q21VydFLVH3TRQUabQu_ym0Zz7PgGX0-kHA/edit?usp=sharing"",""แผน!EJ63"")"),16)</f>
        <v>16</v>
      </c>
      <c r="J370" s="37">
        <f ca="1">IFERROR(__xludf.DUMMYFUNCTION("IMPORTRANGE(""https://docs.google.com/spreadsheets/d/1XWAQStnk-4SwqDmLtmXYiTMKHgktTP8We1SCoS47DrQ/edit?usp=sharing"",""จัดที่ดิน!G63"")"),13)</f>
        <v>13</v>
      </c>
      <c r="K370" s="38">
        <f t="shared" ca="1" si="163"/>
        <v>81.25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IFERROR(__xludf.DUMMYFUNCTION("IMPORTRANGE(""https://docs.google.com/spreadsheets/d/1XWAQStnk-4SwqDmLtmXYiTMKHgktTP8We1SCoS47DrQ/edit?usp=sharing"",""จัดที่ดิน!H63"")"),380.25)</f>
        <v>380.25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IFERROR(__xludf.DUMMYFUNCTION("IMPORTRANGE(""https://docs.google.com/spreadsheets/d/1QqKyyYR6Q21VydFLVH3TRQUabQu_ym0Zz7PgGX0-kHA/edit?usp=sharing"",""แผน!EJ63"")"),16)</f>
        <v>16</v>
      </c>
      <c r="J372" s="37">
        <f ca="1">IFERROR(__xludf.DUMMYFUNCTION("IMPORTRANGE(""https://docs.google.com/spreadsheets/d/1XWAQStnk-4SwqDmLtmXYiTMKHgktTP8We1SCoS47DrQ/edit?usp=sharing"",""จัดที่ดิน!I63"")"),16)</f>
        <v>16</v>
      </c>
      <c r="K372" s="38">
        <f t="shared" ca="1" si="163"/>
        <v>100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IFERROR(__xludf.DUMMYFUNCTION("IMPORTRANGE(""https://docs.google.com/spreadsheets/d/1XWAQStnk-4SwqDmLtmXYiTMKHgktTP8We1SCoS47DrQ/edit?usp=sharing"",""จัดที่ดิน!J63"")"),405.25)</f>
        <v>405.25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IFERROR(__xludf.DUMMYFUNCTION("IMPORTRANGE(""https://docs.google.com/spreadsheets/d/1QqKyyYR6Q21VydFLVH3TRQUabQu_ym0Zz7PgGX0-kHA/edit?usp=sharing"",""แผน!EU63"")"),64)</f>
        <v>64</v>
      </c>
      <c r="J374" s="462">
        <f ca="1">J381</f>
        <v>105</v>
      </c>
      <c r="K374" s="463">
        <f t="shared" ca="1" si="163"/>
        <v>164.0625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IFERROR(__xludf.DUMMYFUNCTION("IMPORTRANGE(""https://docs.google.com/spreadsheets/d/1XWAQStnk-4SwqDmLtmXYiTMKHgktTP8We1SCoS47DrQ/edit?usp=sharing"",""จัดที่ดิน!AH63"")"),9)</f>
        <v>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IFERROR(__xludf.DUMMYFUNCTION("IMPORTRANGE(""https://docs.google.com/spreadsheets/d/1QqKyyYR6Q21VydFLVH3TRQUabQu_ym0Zz7PgGX0-kHA/edit?usp=sharing"",""แผน!ET63"")"),300)</f>
        <v>300</v>
      </c>
      <c r="J378" s="37">
        <f ca="1">IFERROR(__xludf.DUMMYFUNCTION("IMPORTRANGE(""https://docs.google.com/spreadsheets/d/1XWAQStnk-4SwqDmLtmXYiTMKHgktTP8We1SCoS47DrQ/edit?usp=sharing"",""จัดที่ดิน!AI63"")"),99.03)</f>
        <v>99.03</v>
      </c>
      <c r="K378" s="38">
        <f t="shared" ca="1" si="164"/>
        <v>33.01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IFERROR(__xludf.DUMMYFUNCTION("IMPORTRANGE(""https://docs.google.com/spreadsheets/d/1QqKyyYR6Q21VydFLVH3TRQUabQu_ym0Zz7PgGX0-kHA/edit?usp=sharing"",""แผน!EU63"")"),64)</f>
        <v>64</v>
      </c>
      <c r="J379" s="37">
        <f ca="1">IFERROR(__xludf.DUMMYFUNCTION("IMPORTRANGE(""https://docs.google.com/spreadsheets/d/1XWAQStnk-4SwqDmLtmXYiTMKHgktTP8We1SCoS47DrQ/edit?usp=sharing"",""จัดที่ดิน!AJ63"")"),6)</f>
        <v>6</v>
      </c>
      <c r="K379" s="38">
        <f t="shared" ca="1" si="164"/>
        <v>9.375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IFERROR(__xludf.DUMMYFUNCTION("IMPORTRANGE(""https://docs.google.com/spreadsheets/d/1XWAQStnk-4SwqDmLtmXYiTMKHgktTP8We1SCoS47DrQ/edit?usp=sharing"",""จัดที่ดิน!AK63"")"),84.58)</f>
        <v>84.58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IFERROR(__xludf.DUMMYFUNCTION("IMPORTRANGE(""https://docs.google.com/spreadsheets/d/1QqKyyYR6Q21VydFLVH3TRQUabQu_ym0Zz7PgGX0-kHA/edit?usp=sharing"",""แผน!EU63"")"),64)</f>
        <v>64</v>
      </c>
      <c r="J381" s="37">
        <f ca="1">IFERROR(__xludf.DUMMYFUNCTION("IMPORTRANGE(""https://docs.google.com/spreadsheets/d/1XWAQStnk-4SwqDmLtmXYiTMKHgktTP8We1SCoS47DrQ/edit?usp=sharing"",""จัดที่ดิน!AL63"")"),105)</f>
        <v>105</v>
      </c>
      <c r="K381" s="38">
        <f t="shared" ca="1" si="164"/>
        <v>164.0625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IFERROR(__xludf.DUMMYFUNCTION("IMPORTRANGE(""https://docs.google.com/spreadsheets/d/1QqKyyYR6Q21VydFLVH3TRQUabQu_ym0Zz7PgGX0-kHA/edit?usp=sharing"",""แผน!EW63"")"),5)</f>
        <v>5</v>
      </c>
      <c r="J385" s="365">
        <f ca="1">IFERROR(__xludf.DUMMYFUNCTION("IMPORTRANGE(""https://docs.google.com/spreadsheets/d/1XWAQStnk-4SwqDmLtmXYiTMKHgktTP8We1SCoS47DrQ/edit?usp=sharing"",""จัดที่ดิน!AP63"")"),0)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IFERROR(__xludf.DUMMYFUNCTION("IMPORTRANGE(""https://docs.google.com/spreadsheets/d/1MeEWN-I1oV_STSDYn1IFDPWt_1FKiwhDph83XaGc0o0/edit?usp=sharing"",""งบพรบ!FG63"")"),0)</f>
        <v>0</v>
      </c>
      <c r="M394" s="45">
        <f ca="1">IFERROR(__xludf.DUMMYFUNCTION("IMPORTRANGE(""https://docs.google.com/spreadsheets/d/1MeEWN-I1oV_STSDYn1IFDPWt_1FKiwhDph83XaGc0o0/edit?usp=sharing"",""งบพรบ!FL63"")"),0)</f>
        <v>0</v>
      </c>
      <c r="N394" s="45">
        <f ca="1">IFERROR(__xludf.DUMMYFUNCTION("IMPORTRANGE(""https://docs.google.com/spreadsheets/d/1MeEWN-I1oV_STSDYn1IFDPWt_1FKiwhDph83XaGc0o0/edit?usp=sharing"",""งบพรบ!FN63"")"),0)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IFERROR(__xludf.DUMMYFUNCTION("IMPORTRANGE(""https://docs.google.com/spreadsheets/d/1MeEWN-I1oV_STSDYn1IFDPWt_1FKiwhDph83XaGc0o0/edit?usp=sharing"",""งบพรบ!FJ63"")"),0)</f>
        <v>0</v>
      </c>
      <c r="M397" s="45">
        <f ca="1">IFERROR(__xludf.DUMMYFUNCTION("IMPORTRANGE(""https://docs.google.com/spreadsheets/d/1MeEWN-I1oV_STSDYn1IFDPWt_1FKiwhDph83XaGc0o0/edit?usp=sharing"",""งบพรบ!FM63"")"),0)</f>
        <v>0</v>
      </c>
      <c r="N397" s="45">
        <f ca="1">IFERROR(__xludf.DUMMYFUNCTION("IMPORTRANGE(""https://docs.google.com/spreadsheets/d/1MeEWN-I1oV_STSDYn1IFDPWt_1FKiwhDph83XaGc0o0/edit?usp=sharing"",""งบพรบ!FO63"")"),0)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IFERROR(__xludf.DUMMYFUNCTION("IMPORTRANGE(""https://docs.google.com/spreadsheets/d/1MeEWN-I1oV_STSDYn1IFDPWt_1FKiwhDph83XaGc0o0/edit?usp=sharing"",""งบพรบ!FQ63"")"),0)</f>
        <v>0</v>
      </c>
      <c r="M407" s="45">
        <f ca="1">IFERROR(__xludf.DUMMYFUNCTION("IMPORTRANGE(""https://docs.google.com/spreadsheets/d/1MeEWN-I1oV_STSDYn1IFDPWt_1FKiwhDph83XaGc0o0/edit?usp=sharing"",""งบพรบ!FV63"")"),0)</f>
        <v>0</v>
      </c>
      <c r="N407" s="45">
        <f ca="1">IFERROR(__xludf.DUMMYFUNCTION("IMPORTRANGE(""https://docs.google.com/spreadsheets/d/1MeEWN-I1oV_STSDYn1IFDPWt_1FKiwhDph83XaGc0o0/edit?usp=sharing"",""งบพรบ!FX63"")"),0)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IFERROR(__xludf.DUMMYFUNCTION("IMPORTRANGE(""https://docs.google.com/spreadsheets/d/1MeEWN-I1oV_STSDYn1IFDPWt_1FKiwhDph83XaGc0o0/edit?usp=sharing"",""งบพรบ!FT63"")"),0)</f>
        <v>0</v>
      </c>
      <c r="M410" s="45">
        <f ca="1">IFERROR(__xludf.DUMMYFUNCTION("IMPORTRANGE(""https://docs.google.com/spreadsheets/d/1MeEWN-I1oV_STSDYn1IFDPWt_1FKiwhDph83XaGc0o0/edit?usp=sharing"",""งบพรบ!FW63"")"),0)</f>
        <v>0</v>
      </c>
      <c r="N410" s="45">
        <f ca="1">IFERROR(__xludf.DUMMYFUNCTION("IMPORTRANGE(""https://docs.google.com/spreadsheets/d/1MeEWN-I1oV_STSDYn1IFDPWt_1FKiwhDph83XaGc0o0/edit?usp=sharing"",""งบพรบ!FY63"")"),0)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745683</v>
      </c>
      <c r="M414" s="518">
        <f t="shared" ca="1" si="181"/>
        <v>745683</v>
      </c>
      <c r="N414" s="518">
        <f t="shared" si="181"/>
        <v>491843</v>
      </c>
      <c r="O414" s="518">
        <f ca="1">IF(L414&gt;0,N414*100/L414,0)</f>
        <v>65.958725088274775</v>
      </c>
      <c r="P414" s="518">
        <f ca="1">IF(M414&gt;0,N414*100/M414,0)</f>
        <v>65.958725088274775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15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83760</v>
      </c>
      <c r="M419" s="154">
        <f t="shared" ca="1" si="184"/>
        <v>83760</v>
      </c>
      <c r="N419" s="154">
        <f t="shared" si="184"/>
        <v>67770</v>
      </c>
      <c r="O419" s="154">
        <f t="shared" ref="O419:O424" ca="1" si="185">IF(L419&gt;0,N419*100/L419,0)</f>
        <v>80.909742120343836</v>
      </c>
      <c r="P419" s="154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83760</v>
      </c>
      <c r="M421" s="45">
        <f t="shared" ca="1" si="187"/>
        <v>83760</v>
      </c>
      <c r="N421" s="45">
        <f t="shared" si="187"/>
        <v>67770</v>
      </c>
      <c r="O421" s="45">
        <f t="shared" ca="1" si="185"/>
        <v>80.909742120343836</v>
      </c>
      <c r="P421" s="45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83760</v>
      </c>
      <c r="M422" s="38">
        <f t="shared" ca="1" si="188"/>
        <v>83760</v>
      </c>
      <c r="N422" s="38">
        <f t="shared" si="188"/>
        <v>67770</v>
      </c>
      <c r="O422" s="38">
        <f t="shared" ca="1" si="185"/>
        <v>80.909742120343836</v>
      </c>
      <c r="P422" s="38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IFERROR(__xludf.DUMMYFUNCTION("IMPORTRANGE(""https://docs.google.com/spreadsheets/d/1QqKyyYR6Q21VydFLVH3TRQUabQu_ym0Zz7PgGX0-kHA/edit?usp=sharing"",""แผน!EY63"")"),83760)</f>
        <v>83760</v>
      </c>
      <c r="M424" s="45">
        <f ca="1">L424</f>
        <v>83760</v>
      </c>
      <c r="N424" s="45">
        <f>N425+N426+N427+N428</f>
        <v>67770</v>
      </c>
      <c r="O424" s="45">
        <f t="shared" ca="1" si="185"/>
        <v>80.909742120343836</v>
      </c>
      <c r="P424" s="45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36300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31470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IFERROR(__xludf.DUMMYFUNCTION("IMPORTRANGE(""https://docs.google.com/spreadsheets/d/1QqKyyYR6Q21VydFLVH3TRQUabQu_ym0Zz7PgGX0-kHA/edit?usp=sharing"",""แผน!FB63"")"),0)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IFERROR(__xludf.DUMMYFUNCTION("IMPORTRANGE(""https://docs.google.com/spreadsheets/d/1QqKyyYR6Q21VydFLVH3TRQUabQu_ym0Zz7PgGX0-kHA/edit?usp=sharing"",""แผน!FC63"")"),15)</f>
        <v>15</v>
      </c>
      <c r="J435" s="546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IFERROR(__xludf.DUMMYFUNCTION("IMPORTRANGE(""https://docs.google.com/spreadsheets/d/1QqKyyYR6Q21VydFLVH3TRQUabQu_ym0Zz7PgGX0-kHA/edit?usp=sharing"",""แผน!FD63"")"),0)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IFERROR(__xludf.DUMMYFUNCTION("IMPORTRANGE(""https://docs.google.com/spreadsheets/d/1QqKyyYR6Q21VydFLVH3TRQUabQu_ym0Zz7PgGX0-kHA/edit?usp=sharing"",""แผน!FE63"")"),0)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IFERROR(__xludf.DUMMYFUNCTION("IMPORTRANGE(""https://docs.google.com/spreadsheets/d/1QqKyyYR6Q21VydFLVH3TRQUabQu_ym0Zz7PgGX0-kHA/edit?usp=sharing"",""แผน!FF63"")"),15)</f>
        <v>15</v>
      </c>
      <c r="J439" s="54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IFERROR(__xludf.DUMMYFUNCTION("IMPORTRANGE(""https://docs.google.com/spreadsheets/d/1QqKyyYR6Q21VydFLVH3TRQUabQu_ym0Zz7PgGX0-kHA/edit?usp=sharing"",""แผน!FG63"")"),1)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IFERROR(__xludf.DUMMYFUNCTION("IMPORTRANGE(""https://docs.google.com/spreadsheets/d/1QqKyyYR6Q21VydFLVH3TRQUabQu_ym0Zz7PgGX0-kHA/edit?usp=sharing"",""แผน!FH63"")"),0)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30</v>
      </c>
      <c r="J442" s="552">
        <f t="shared" si="195"/>
        <v>30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90</v>
      </c>
      <c r="J443" s="533">
        <f t="shared" si="196"/>
        <v>90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172480</v>
      </c>
      <c r="M444" s="191">
        <f t="shared" ca="1" si="197"/>
        <v>172480</v>
      </c>
      <c r="N444" s="191">
        <f t="shared" si="197"/>
        <v>169880</v>
      </c>
      <c r="O444" s="191">
        <f t="shared" ref="O444:O449" ca="1" si="198">IF(L444&gt;0,N444*100/L444,0)</f>
        <v>98.49257884972171</v>
      </c>
      <c r="P444" s="191">
        <f t="shared" ref="P444:P449" ca="1" si="199">IF(M444&gt;0,N444*100/M444,0)</f>
        <v>98.49257884972171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172480</v>
      </c>
      <c r="M446" s="45">
        <f t="shared" ca="1" si="200"/>
        <v>172480</v>
      </c>
      <c r="N446" s="45">
        <f t="shared" si="200"/>
        <v>169880</v>
      </c>
      <c r="O446" s="45">
        <f t="shared" ca="1" si="198"/>
        <v>98.49257884972171</v>
      </c>
      <c r="P446" s="45">
        <f t="shared" ca="1" si="199"/>
        <v>98.49257884972171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172480</v>
      </c>
      <c r="M447" s="38">
        <f t="shared" ca="1" si="201"/>
        <v>172480</v>
      </c>
      <c r="N447" s="38">
        <f t="shared" si="201"/>
        <v>169880</v>
      </c>
      <c r="O447" s="38">
        <f t="shared" ca="1" si="198"/>
        <v>98.49257884972171</v>
      </c>
      <c r="P447" s="38">
        <f t="shared" ca="1" si="199"/>
        <v>98.49257884972171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IFERROR(__xludf.DUMMYFUNCTION("IMPORTRANGE(""https://docs.google.com/spreadsheets/d/1QqKyyYR6Q21VydFLVH3TRQUabQu_ym0Zz7PgGX0-kHA/edit?usp=sharing"",""แผน!FJ63"")"),172480)</f>
        <v>172480</v>
      </c>
      <c r="M449" s="45">
        <f ca="1">L449</f>
        <v>172480</v>
      </c>
      <c r="N449" s="45">
        <f>N450+N451+N452+N453</f>
        <v>169880</v>
      </c>
      <c r="O449" s="45">
        <f t="shared" ca="1" si="198"/>
        <v>98.49257884972171</v>
      </c>
      <c r="P449" s="45">
        <f t="shared" ca="1" si="199"/>
        <v>98.49257884972171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77880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91000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1000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IFERROR(__xludf.DUMMYFUNCTION("IMPORTRANGE(""https://docs.google.com/spreadsheets/d/1QqKyyYR6Q21VydFLVH3TRQUabQu_ym0Zz7PgGX0-kHA/edit?usp=sharing"",""แผน!FM63"")"),0)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IFERROR(__xludf.DUMMYFUNCTION("IMPORTRANGE(""https://docs.google.com/spreadsheets/d/1QqKyyYR6Q21VydFLVH3TRQUabQu_ym0Zz7PgGX0-kHA/edit?usp=sharing"",""แผน!FN63"")"),30)</f>
        <v>30</v>
      </c>
      <c r="J460" s="181">
        <v>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IFERROR(__xludf.DUMMYFUNCTION("IMPORTRANGE(""https://docs.google.com/spreadsheets/d/1QqKyyYR6Q21VydFLVH3TRQUabQu_ym0Zz7PgGX0-kHA/edit?usp=sharing"",""แผน!FO63"")"),90)</f>
        <v>90</v>
      </c>
      <c r="J462" s="181">
        <v>90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IFERROR(__xludf.DUMMYFUNCTION("IMPORTRANGE(""https://docs.google.com/spreadsheets/d/1QqKyyYR6Q21VydFLVH3TRQUabQu_ym0Zz7PgGX0-kHA/edit?usp=sharing"",""แผน!FO63"")"),90)</f>
        <v>90</v>
      </c>
      <c r="J463" s="181">
        <v>90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IFERROR(__xludf.DUMMYFUNCTION("IMPORTRANGE(""https://docs.google.com/spreadsheets/d/1QqKyyYR6Q21VydFLVH3TRQUabQu_ym0Zz7PgGX0-kHA/edit?usp=sharing"",""แผน!FN63"")"),30)</f>
        <v>30</v>
      </c>
      <c r="J464" s="181">
        <v>30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IFERROR(__xludf.DUMMYFUNCTION("IMPORTRANGE(""https://docs.google.com/spreadsheets/d/1QqKyyYR6Q21VydFLVH3TRQUabQu_ym0Zz7PgGX0-kHA/edit?usp=sharing"",""แผน!FX63"")"),31)</f>
        <v>31</v>
      </c>
      <c r="J465" s="552">
        <f>J485+J489+J492</f>
        <v>31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IFERROR(__xludf.DUMMYFUNCTION("IMPORTRANGE(""https://docs.google.com/spreadsheets/d/1QqKyyYR6Q21VydFLVH3TRQUabQu_ym0Zz7PgGX0-kHA/edit?usp=sharing"",""แผน!FW63"")"),300)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255463</v>
      </c>
      <c r="M467" s="191">
        <f t="shared" ca="1" si="206"/>
        <v>255463</v>
      </c>
      <c r="N467" s="191">
        <f t="shared" si="206"/>
        <v>251193</v>
      </c>
      <c r="O467" s="191">
        <f t="shared" ref="O467:O472" ca="1" si="207">IF(L467&gt;0,N467*100/L467,0)</f>
        <v>98.32852507016672</v>
      </c>
      <c r="P467" s="191">
        <f t="shared" ref="P467:P472" ca="1" si="208">IF(M467&gt;0,N467*100/M467,0)</f>
        <v>98.32852507016672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255463</v>
      </c>
      <c r="M469" s="45">
        <f t="shared" ca="1" si="209"/>
        <v>255463</v>
      </c>
      <c r="N469" s="45">
        <f t="shared" si="209"/>
        <v>251193</v>
      </c>
      <c r="O469" s="45">
        <f t="shared" ca="1" si="207"/>
        <v>98.32852507016672</v>
      </c>
      <c r="P469" s="45">
        <f t="shared" ca="1" si="208"/>
        <v>98.32852507016672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255463</v>
      </c>
      <c r="M470" s="38">
        <f t="shared" ca="1" si="210"/>
        <v>255463</v>
      </c>
      <c r="N470" s="38">
        <f t="shared" si="210"/>
        <v>251193</v>
      </c>
      <c r="O470" s="38">
        <f t="shared" ca="1" si="207"/>
        <v>98.32852507016672</v>
      </c>
      <c r="P470" s="38">
        <f t="shared" ca="1" si="208"/>
        <v>98.32852507016672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IFERROR(__xludf.DUMMYFUNCTION("IMPORTRANGE(""https://docs.google.com/spreadsheets/d/1QqKyyYR6Q21VydFLVH3TRQUabQu_ym0Zz7PgGX0-kHA/edit?usp=sharing"",""แผน!FS63"")"),255463)</f>
        <v>255463</v>
      </c>
      <c r="M472" s="45">
        <f ca="1">L472</f>
        <v>255463</v>
      </c>
      <c r="N472" s="45">
        <f>N473+N474+N475+N476</f>
        <v>251193</v>
      </c>
      <c r="O472" s="45">
        <f t="shared" ca="1" si="207"/>
        <v>98.32852507016672</v>
      </c>
      <c r="P472" s="45">
        <f t="shared" ca="1" si="208"/>
        <v>98.32852507016672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32070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190000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29123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IFERROR(__xludf.DUMMYFUNCTION("IMPORTRANGE(""https://docs.google.com/spreadsheets/d/1QqKyyYR6Q21VydFLVH3TRQUabQu_ym0Zz7PgGX0-kHA/edit?usp=sharing"",""แผน!FV63"")"),0)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IFERROR(__xludf.DUMMYFUNCTION("IMPORTRANGE(""https://docs.google.com/spreadsheets/d/1QqKyyYR6Q21VydFLVH3TRQUabQu_ym0Zz7PgGX0-kHA/edit?usp=sharing"",""แผน!FY63"")"),270)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IFERROR(__xludf.DUMMYFUNCTION("IMPORTRANGE(""https://docs.google.com/spreadsheets/d/1QqKyyYR6Q21VydFLVH3TRQUabQu_ym0Zz7PgGX0-kHA/edit?usp=sharing"",""แผน!FZ63"")"),27)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IFERROR(__xludf.DUMMYFUNCTION("IMPORTRANGE(""https://docs.google.com/spreadsheets/d/1QqKyyYR6Q21VydFLVH3TRQUabQu_ym0Zz7PgGX0-kHA/edit?usp=sharing"",""แผน!GA63"")"),30)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IFERROR(__xludf.DUMMYFUNCTION("IMPORTRANGE(""https://docs.google.com/spreadsheets/d/1QqKyyYR6Q21VydFLVH3TRQUabQu_ym0Zz7PgGX0-kHA/edit?usp=sharing"",""แผน!GB63"")"),3)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IFERROR(__xludf.DUMMYFUNCTION("IMPORTRANGE(""https://docs.google.com/spreadsheets/d/1QqKyyYR6Q21VydFLVH3TRQUabQu_ym0Zz7PgGX0-kHA/edit?usp=sharing"",""แผน!FY63"")"),270)</f>
        <v>270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IFERROR(__xludf.DUMMYFUNCTION("IMPORTRANGE(""https://docs.google.com/spreadsheets/d/1QqKyyYR6Q21VydFLVH3TRQUabQu_ym0Zz7PgGX0-kHA/edit?usp=sharing"",""แผน!GA63"")"),30)</f>
        <v>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IFERROR(__xludf.DUMMYFUNCTION("IMPORTRANGE(""https://docs.google.com/spreadsheets/d/1QqKyyYR6Q21VydFLVH3TRQUabQu_ym0Zz7PgGX0-kHA/edit?usp=sharing"",""แผน!GQ63"")"),0)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IFERROR(__xludf.DUMMYFUNCTION("IMPORTRANGE(""https://docs.google.com/spreadsheets/d/1QqKyyYR6Q21VydFLVH3TRQUabQu_ym0Zz7PgGX0-kHA/edit?usp=sharing"",""แผน!GT63"")"),0)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IFERROR(__xludf.DUMMYFUNCTION("IMPORTRANGE(""https://docs.google.com/spreadsheets/d/1QqKyyYR6Q21VydFLVH3TRQUabQu_ym0Zz7PgGX0-kHA/edit?usp=sharing"",""แผน!GU63"")"),0)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IFERROR(__xludf.DUMMYFUNCTION("IMPORTRANGE(""https://docs.google.com/spreadsheets/d/1QqKyyYR6Q21VydFLVH3TRQUabQu_ym0Zz7PgGX0-kHA/edit?usp=sharing"",""แผน!GV63"")"),0)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IFERROR(__xludf.DUMMYFUNCTION("IMPORTRANGE(""https://docs.google.com/spreadsheets/d/1QqKyyYR6Q21VydFLVH3TRQUabQu_ym0Zz7PgGX0-kHA/edit?usp=sharing"",""แผน!GW63"")"),0)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IFERROR(__xludf.DUMMYFUNCTION("IMPORTRANGE(""https://docs.google.com/spreadsheets/d/1QqKyyYR6Q21VydFLVH3TRQUabQu_ym0Zz7PgGX0-kHA/edit?usp=sharing"",""แผน!GX63"")"),0)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IFERROR(__xludf.DUMMYFUNCTION("IMPORTRANGE(""https://docs.google.com/spreadsheets/d/1QqKyyYR6Q21VydFLVH3TRQUabQu_ym0Zz7PgGX0-kHA/edit?usp=sharing"",""แผน!GY63"")"),0)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IFERROR(__xludf.DUMMYFUNCTION("IMPORTRANGE(""https://docs.google.com/spreadsheets/d/1QqKyyYR6Q21VydFLVH3TRQUabQu_ym0Zz7PgGX0-kHA/edit?usp=sharing"",""แผน!GZ63"")"),0)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218300</v>
      </c>
      <c r="M544" s="154">
        <f t="shared" ca="1" si="236"/>
        <v>218300</v>
      </c>
      <c r="N544" s="154">
        <f t="shared" si="236"/>
        <v>0</v>
      </c>
      <c r="O544" s="154">
        <f t="shared" ref="O544:O549" ca="1" si="237">IF(L544&gt;0,N544*100/L544,0)</f>
        <v>0</v>
      </c>
      <c r="P544" s="154">
        <f t="shared" ref="P544:P549" ca="1" si="238">IF(M544&gt;0,N544*100/M544,0)</f>
        <v>0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218300</v>
      </c>
      <c r="M546" s="45">
        <f t="shared" ca="1" si="240"/>
        <v>218300</v>
      </c>
      <c r="N546" s="45">
        <f t="shared" si="240"/>
        <v>0</v>
      </c>
      <c r="O546" s="45">
        <f t="shared" ca="1" si="237"/>
        <v>0</v>
      </c>
      <c r="P546" s="45">
        <f t="shared" ca="1" si="238"/>
        <v>0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218300</v>
      </c>
      <c r="M547" s="38">
        <f t="shared" ca="1" si="241"/>
        <v>218300</v>
      </c>
      <c r="N547" s="38">
        <f t="shared" si="241"/>
        <v>0</v>
      </c>
      <c r="O547" s="38">
        <f t="shared" ca="1" si="237"/>
        <v>0</v>
      </c>
      <c r="P547" s="38">
        <f t="shared" ca="1" si="238"/>
        <v>0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IFERROR(__xludf.DUMMYFUNCTION("IMPORTRANGE(""https://docs.google.com/spreadsheets/d/1QqKyyYR6Q21VydFLVH3TRQUabQu_ym0Zz7PgGX0-kHA/edit?usp=sharing"",""แผน!HB63"")"),218300)</f>
        <v>218300</v>
      </c>
      <c r="M549" s="45">
        <f ca="1">L549</f>
        <v>218300</v>
      </c>
      <c r="N549" s="45">
        <f>N550+N551+N552+N553+N554</f>
        <v>0</v>
      </c>
      <c r="O549" s="45">
        <f t="shared" ca="1" si="237"/>
        <v>0</v>
      </c>
      <c r="P549" s="45">
        <f t="shared" ca="1" si="238"/>
        <v>0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IFERROR(__xludf.DUMMYFUNCTION("IMPORTRANGE(""https://docs.google.com/spreadsheets/d/1QqKyyYR6Q21VydFLVH3TRQUabQu_ym0Zz7PgGX0-kHA/edit?usp=sharing"",""แผน!HF63"")"),0)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IFERROR(__xludf.DUMMYFUNCTION("IMPORTRANGE(""https://docs.google.com/spreadsheets/d/1QqKyyYR6Q21VydFLVH3TRQUabQu_ym0Zz7PgGX0-kHA/edit?usp=sharing"",""แผน!HH63"")"),0)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IFERROR(__xludf.DUMMYFUNCTION("IMPORTRANGE(""https://docs.google.com/spreadsheets/d/1QqKyyYR6Q21VydFLVH3TRQUabQu_ym0Zz7PgGX0-kHA/edit?usp=sharing"",""แผน!HG63"")"),0)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IFERROR(__xludf.DUMMYFUNCTION("IMPORTRANGE(""https://docs.google.com/spreadsheets/d/1QqKyyYR6Q21VydFLVH3TRQUabQu_ym0Zz7PgGX0-kHA/edit?usp=sharing"",""แผน!HH63"")"),0)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IFERROR(__xludf.DUMMYFUNCTION("IMPORTRANGE(""https://docs.google.com/spreadsheets/d/1QqKyyYR6Q21VydFLVH3TRQUabQu_ym0Zz7PgGX0-kHA/edit?usp=sharing"",""แผน!HG63"")"),0)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IFERROR(__xludf.DUMMYFUNCTION("IMPORTRANGE(""https://docs.google.com/spreadsheets/d/1QqKyyYR6Q21VydFLVH3TRQUabQu_ym0Zz7PgGX0-kHA/edit?usp=sharing"",""แผน!HH63"")"),0)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IFERROR(__xludf.DUMMYFUNCTION("IMPORTRANGE(""https://docs.google.com/spreadsheets/d/1QqKyyYR6Q21VydFLVH3TRQUabQu_ym0Zz7PgGX0-kHA/edit?usp=sharing"",""แผน!HG63"")"),0)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792.63</v>
      </c>
      <c r="J592" s="627">
        <f t="shared" si="253"/>
        <v>0</v>
      </c>
      <c r="K592" s="628">
        <f t="shared" ref="K592:K594" ca="1" si="254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IFERROR(__xludf.DUMMYFUNCTION("IMPORTRANGE(""https://docs.google.com/spreadsheets/d/1QqKyyYR6Q21VydFLVH3TRQUabQu_ym0Zz7PgGX0-kHA/edit?usp=sharing"",""แผน!HJ63"")"),792.63)</f>
        <v>792.63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IFERROR(__xludf.DUMMYFUNCTION("IMPORTRANGE(""https://docs.google.com/spreadsheets/d/1QqKyyYR6Q21VydFLVH3TRQUabQu_ym0Zz7PgGX0-kHA/edit?usp=sharing"",""แผน!HI63"")"),21)</f>
        <v>21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IFERROR(__xludf.DUMMYFUNCTION("IMPORTRANGE(""https://docs.google.com/spreadsheets/d/1QqKyyYR6Q21VydFLVH3TRQUabQu_ym0Zz7PgGX0-kHA/edit?usp=sharing"",""แผน!HL63"")"),0)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IFERROR(__xludf.DUMMYFUNCTION("IMPORTRANGE(""https://docs.google.com/spreadsheets/d/1QqKyyYR6Q21VydFLVH3TRQUabQu_ym0Zz7PgGX0-kHA/edit?usp=sharing"",""แผน!HK63"")"),0)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IFERROR(__xludf.DUMMYFUNCTION("IMPORTRANGE(""https://docs.google.com/spreadsheets/d/1QqKyyYR6Q21VydFLVH3TRQUabQu_ym0Zz7PgGX0-kHA/edit?usp=sharing"",""แผน!HN63"")"),0)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IFERROR(__xludf.DUMMYFUNCTION("IMPORTRANGE(""https://docs.google.com/spreadsheets/d/1QqKyyYR6Q21VydFLVH3TRQUabQu_ym0Zz7PgGX0-kHA/edit?usp=sharing"",""แผน!HQ63"")"),0)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IFERROR(__xludf.DUMMYFUNCTION("IMPORTRANGE(""https://docs.google.com/spreadsheets/d/1QqKyyYR6Q21VydFLVH3TRQUabQu_ym0Zz7PgGX0-kHA/edit?usp=sharing"",""แผน!HR63"")"),0)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IFERROR(__xludf.DUMMYFUNCTION("IMPORTRANGE(""https://docs.google.com/spreadsheets/d/1QqKyyYR6Q21VydFLVH3TRQUabQu_ym0Zz7PgGX0-kHA/edit?usp=sharing"",""แผน!HR63"")"),0)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IFERROR(__xludf.DUMMYFUNCTION("IMPORTRANGE(""https://docs.google.com/spreadsheets/d/1XWAQStnk-4SwqDmLtmXYiTMKHgktTP8We1SCoS47DrQ/edit?usp=sharing"",""จัดที่ดิน!AS63"")"),0)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IFERROR(__xludf.DUMMYFUNCTION("IMPORTRANGE(""https://docs.google.com/spreadsheets/d/1XWAQStnk-4SwqDmLtmXYiTMKHgktTP8We1SCoS47DrQ/edit?usp=sharing"",""จัดที่ดิน!AT63"")"),0)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IFERROR(__xludf.DUMMYFUNCTION("IMPORTRANGE(""https://docs.google.com/spreadsheets/d/1QqKyyYR6Q21VydFLVH3TRQUabQu_ym0Zz7PgGX0-kHA/edit?usp=sharing"",""แผน!HS63"")"),0)</f>
        <v>0</v>
      </c>
      <c r="J647" s="37">
        <f ca="1">IFERROR(__xludf.DUMMYFUNCTION("IMPORTRANGE(""https://docs.google.com/spreadsheets/d/1XWAQStnk-4SwqDmLtmXYiTMKHgktTP8We1SCoS47DrQ/edit?usp=sharing"",""จัดที่ดิน!AU63"")"),0)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IFERROR(__xludf.DUMMYFUNCTION("IMPORTRANGE(""https://docs.google.com/spreadsheets/d/1XWAQStnk-4SwqDmLtmXYiTMKHgktTP8We1SCoS47DrQ/edit?usp=sharing"",""จัดที่ดิน!AV63"")"),0)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IFERROR(__xludf.DUMMYFUNCTION("IMPORTRANGE(""https://docs.google.com/spreadsheets/d/1QqKyyYR6Q21VydFLVH3TRQUabQu_ym0Zz7PgGX0-kHA/edit?usp=sharing"",""แผน!HS63"")"),0)</f>
        <v>0</v>
      </c>
      <c r="J649" s="37">
        <f ca="1">IFERROR(__xludf.DUMMYFUNCTION("IMPORTRANGE(""https://docs.google.com/spreadsheets/d/1XWAQStnk-4SwqDmLtmXYiTMKHgktTP8We1SCoS47DrQ/edit?usp=sharing"",""จัดที่ดิน!AW63"")"),0)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IFERROR(__xludf.DUMMYFUNCTION("IMPORTRANGE(""https://docs.google.com/spreadsheets/d/1XWAQStnk-4SwqDmLtmXYiTMKHgktTP8We1SCoS47DrQ/edit?usp=sharing"",""จัดที่ดิน!AX63"")"),0)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IFERROR(__xludf.DUMMYFUNCTION("IMPORTRANGE(""https://docs.google.com/spreadsheets/d/1QqKyyYR6Q21VydFLVH3TRQUabQu_ym0Zz7PgGX0-kHA/edit?usp=sharing"",""แผน!HS63"")"),0)</f>
        <v>0</v>
      </c>
      <c r="J651" s="37">
        <f ca="1">IFERROR(__xludf.DUMMYFUNCTION("IMPORTRANGE(""https://docs.google.com/spreadsheets/d/1XWAQStnk-4SwqDmLtmXYiTMKHgktTP8We1SCoS47DrQ/edit?usp=sharing"",""จัดที่ดิน!AY63"")"),0)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IFERROR(__xludf.DUMMYFUNCTION("IMPORTRANGE(""https://docs.google.com/spreadsheets/d/1XWAQStnk-4SwqDmLtmXYiTMKHgktTP8We1SCoS47DrQ/edit?usp=sharing"",""จัดที่ดิน!AZ63"")"),0)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3000</v>
      </c>
      <c r="O655" s="191">
        <f t="shared" ref="O655:O660" ca="1" si="274">IF(L655&gt;0,N655*100/L655,0)</f>
        <v>31.914893617021278</v>
      </c>
      <c r="P655" s="191">
        <f t="shared" ref="P655:P660" ca="1" si="275">IF(M655&gt;0,N655*100/M655,0)</f>
        <v>31.914893617021278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3000</v>
      </c>
      <c r="O657" s="45">
        <f t="shared" ca="1" si="274"/>
        <v>31.914893617021278</v>
      </c>
      <c r="P657" s="45">
        <f t="shared" ca="1" si="275"/>
        <v>31.914893617021278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3000</v>
      </c>
      <c r="O658" s="38">
        <f t="shared" ca="1" si="274"/>
        <v>31.914893617021278</v>
      </c>
      <c r="P658" s="38">
        <f t="shared" ca="1" si="275"/>
        <v>31.914893617021278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IFERROR(__xludf.DUMMYFUNCTION("IMPORTRANGE(""https://docs.google.com/spreadsheets/d/1QqKyyYR6Q21VydFLVH3TRQUabQu_ym0Zz7PgGX0-kHA/edit?usp=sharing"",""แผน!HV63"")"),9400)</f>
        <v>9400</v>
      </c>
      <c r="M660" s="45">
        <f ca="1">L660</f>
        <v>9400</v>
      </c>
      <c r="N660" s="45">
        <f>N661+N662+N663+N664</f>
        <v>3000</v>
      </c>
      <c r="O660" s="45">
        <f t="shared" ca="1" si="274"/>
        <v>31.914893617021278</v>
      </c>
      <c r="P660" s="45">
        <f t="shared" ca="1" si="275"/>
        <v>31.914893617021278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3000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IFERROR(__xludf.DUMMYFUNCTION("IMPORTRANGE(""https://docs.google.com/spreadsheets/d/1QqKyyYR6Q21VydFLVH3TRQUabQu_ym0Zz7PgGX0-kHA/edit?usp=sharing"",""แผน!IA63"")"),50)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IFERROR(__xludf.DUMMYFUNCTION("IMPORTRANGE(""https://docs.google.com/spreadsheets/d/1QqKyyYR6Q21VydFLVH3TRQUabQu_ym0Zz7PgGX0-kHA/edit?usp=sharing"",""แผน!HZ63"")"),4)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IFERROR(__xludf.DUMMYFUNCTION("IMPORTRANGE(""https://docs.google.com/spreadsheets/d/1QqKyyYR6Q21VydFLVH3TRQUabQu_ym0Zz7PgGX0-kHA/edit?usp=sharing"",""แผน!HZ63"")"),4)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6280</v>
      </c>
      <c r="M685" s="191">
        <f t="shared" ca="1" si="282"/>
        <v>6280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6280</v>
      </c>
      <c r="M687" s="45">
        <f t="shared" ca="1" si="285"/>
        <v>6280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6280</v>
      </c>
      <c r="M688" s="38">
        <f t="shared" ca="1" si="286"/>
        <v>6280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IFERROR(__xludf.DUMMYFUNCTION("IMPORTRANGE(""https://docs.google.com/spreadsheets/d/1QqKyyYR6Q21VydFLVH3TRQUabQu_ym0Zz7PgGX0-kHA/edit?usp=sharing"",""แผน!HW63"")"),6280)</f>
        <v>6280</v>
      </c>
      <c r="M690" s="45">
        <f ca="1">L690</f>
        <v>6280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IFERROR(__xludf.DUMMYFUNCTION("IMPORTRANGE(""https://docs.google.com/spreadsheets/d/1QqKyyYR6Q21VydFLVH3TRQUabQu_ym0Zz7PgGX0-kHA/edit?usp=sharing"",""แผน!IC63"")"),0)</f>
        <v>0</v>
      </c>
      <c r="J699" s="37">
        <f ca="1">IFERROR(__xludf.DUMMYFUNCTION("IMPORTRANGE(""https://docs.google.com/spreadsheets/d/1XWAQStnk-4SwqDmLtmXYiTMKHgktTP8We1SCoS47DrQ/edit?usp=sharing"",""จัดที่ดิน!BB63"")"),0)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IFERROR(__xludf.DUMMYFUNCTION("IMPORTRANGE(""https://docs.google.com/spreadsheets/d/1QqKyyYR6Q21VydFLVH3TRQUabQu_ym0Zz7PgGX0-kHA/edit?usp=sharing"",""แผน!ID63"")"),31)</f>
        <v>31</v>
      </c>
      <c r="J700" s="37">
        <f ca="1">IFERROR(__xludf.DUMMYFUNCTION("IMPORTRANGE(""https://docs.google.com/spreadsheets/d/1XWAQStnk-4SwqDmLtmXYiTMKHgktTP8We1SCoS47DrQ/edit?usp=sharing"",""จัดที่ดิน!BD63"")"),2)</f>
        <v>2</v>
      </c>
      <c r="K700" s="38">
        <f t="shared" ca="1" si="290"/>
        <v>6.4516129032258061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IFERROR(__xludf.DUMMYFUNCTION("IMPORTRANGE(""https://docs.google.com/spreadsheets/d/1QqKyyYR6Q21VydFLVH3TRQUabQu_ym0Zz7PgGX0-kHA/edit?usp=sharing"",""แผน!IE63"")"),0)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IFERROR(__xludf.DUMMYFUNCTION("IMPORTRANGE(""https://docs.google.com/spreadsheets/d/1QqKyyYR6Q21VydFLVH3TRQUabQu_ym0Zz7PgGX0-kHA/edit?usp=sharing"",""แผน!IF63"")"),0)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IFERROR(__xludf.DUMMYFUNCTION("IMPORTRANGE(""https://docs.google.com/spreadsheets/d/1QqKyyYR6Q21VydFLVH3TRQUabQu_ym0Zz7PgGX0-kHA/edit?usp=sharing"",""แผน!IG63"")"),0)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IFERROR(__xludf.DUMMYFUNCTION("IMPORTRANGE(""https://docs.google.com/spreadsheets/d/1QqKyyYR6Q21VydFLVH3TRQUabQu_ym0Zz7PgGX0-kHA/edit?usp=sharing"",""แผน!IH63"")"),0)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IFERROR(__xludf.DUMMYFUNCTION("IMPORTRANGE(""https://docs.google.com/spreadsheets/d/1XWAQStnk-4SwqDmLtmXYiTMKHgktTP8We1SCoS47DrQ/edit?usp=sharing"",""จัดที่ดิน!BF63"")"),0)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IFERROR(__xludf.DUMMYFUNCTION("IMPORTRANGE(""https://docs.google.com/spreadsheets/d/1XWAQStnk-4SwqDmLtmXYiTMKHgktTP8We1SCoS47DrQ/edit?usp=sharing"",""จัดที่ดิน!BG63"")"),0)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IFERROR(__xludf.DUMMYFUNCTION("IMPORTRANGE(""https://docs.google.com/spreadsheets/d/1QqKyyYR6Q21VydFLVH3TRQUabQu_ym0Zz7PgGX0-kHA/edit?usp=sharing"",""แผน!II63"")"),0)</f>
        <v>0</v>
      </c>
      <c r="J720" s="37">
        <f ca="1">IFERROR(__xludf.DUMMYFUNCTION("IMPORTRANGE(""https://docs.google.com/spreadsheets/d/1XWAQStnk-4SwqDmLtmXYiTMKHgktTP8We1SCoS47DrQ/edit?usp=sharing"",""จัดที่ดิน!BH63"")"),0)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IFERROR(__xludf.DUMMYFUNCTION("IMPORTRANGE(""https://docs.google.com/spreadsheets/d/1QqKyyYR6Q21VydFLVH3TRQUabQu_ym0Zz7PgGX0-kHA/edit?usp=sharing"",""แผน!IJ63"")"),8)</f>
        <v>8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IFERROR(__xludf.DUMMYFUNCTION("IMPORTRANGE(""https://docs.google.com/spreadsheets/d/1QqKyyYR6Q21VydFLVH3TRQUabQu_ym0Zz7PgGX0-kHA/edit?usp=sharing"",""แผน!IK63"")"),16)</f>
        <v>16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IFERROR(__xludf.DUMMYFUNCTION("IMPORTRANGE(""https://docs.google.com/spreadsheets/d/1QqKyyYR6Q21VydFLVH3TRQUabQu_ym0Zz7PgGX0-kHA/edit?usp=sharing"",""แผน!IL63"")"),5)</f>
        <v>5</v>
      </c>
      <c r="J723" s="37">
        <f ca="1">IFERROR(__xludf.DUMMYFUNCTION("IMPORTRANGE(""https://docs.google.com/spreadsheets/d/1XWAQStnk-4SwqDmLtmXYiTMKHgktTP8We1SCoS47DrQ/edit?usp=sharing"",""จัดที่ดิน!BM63"")"),0)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IFERROR(__xludf.DUMMYFUNCTION("IMPORTRANGE(""https://docs.google.com/spreadsheets/d/1XWAQStnk-4SwqDmLtmXYiTMKHgktTP8We1SCoS47DrQ/edit?usp=sharing"",""จัดที่ดิน!BN63"")"),0)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IFERROR(__xludf.DUMMYFUNCTION("IMPORTRANGE(""https://docs.google.com/spreadsheets/d/1QqKyyYR6Q21VydFLVH3TRQUabQu_ym0Zz7PgGX0-kHA/edit?usp=sharing"",""แผน!IM63"")"),10)</f>
        <v>10</v>
      </c>
      <c r="J725" s="37">
        <f ca="1">IFERROR(__xludf.DUMMYFUNCTION("IMPORTRANGE(""https://docs.google.com/spreadsheets/d/1XWAQStnk-4SwqDmLtmXYiTMKHgktTP8We1SCoS47DrQ/edit?usp=sharing"",""จัดที่ดิน!BO63"")"),0)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IFERROR(__xludf.DUMMYFUNCTION("IMPORTRANGE(""https://docs.google.com/spreadsheets/d/1QqKyyYR6Q21VydFLVH3TRQUabQu_ym0Zz7PgGX0-kHA/edit?usp=sharing"",""แผน!IN63"")"),3)</f>
        <v>3</v>
      </c>
      <c r="J726" s="37">
        <f ca="1">IFERROR(__xludf.DUMMYFUNCTION("IMPORTRANGE(""https://docs.google.com/spreadsheets/d/1XWAQStnk-4SwqDmLtmXYiTMKHgktTP8We1SCoS47DrQ/edit?usp=sharing"",""จัดที่ดิน!BR63"")"),0)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IFERROR(__xludf.DUMMYFUNCTION("IMPORTRANGE(""https://docs.google.com/spreadsheets/d/1XWAQStnk-4SwqDmLtmXYiTMKHgktTP8We1SCoS47DrQ/edit?usp=sharing"",""จัดที่ดิน!BS63"")"),0)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IFERROR(__xludf.DUMMYFUNCTION("IMPORTRANGE(""https://docs.google.com/spreadsheets/d/1QqKyyYR6Q21VydFLVH3TRQUabQu_ym0Zz7PgGX0-kHA/edit?usp=sharing"",""แผน!IO63"")"),6)</f>
        <v>6</v>
      </c>
      <c r="J728" s="37">
        <f ca="1">IFERROR(__xludf.DUMMYFUNCTION("IMPORTRANGE(""https://docs.google.com/spreadsheets/d/1XWAQStnk-4SwqDmLtmXYiTMKHgktTP8We1SCoS47DrQ/edit?usp=sharing"",""จัดที่ดิน!BT63"")"),0)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IFERROR(__xludf.DUMMYFUNCTION("IMPORTRANGE(""https://docs.google.com/spreadsheets/d/1QqKyyYR6Q21VydFLVH3TRQUabQu_ym0Zz7PgGX0-kHA/edit?usp=sharing"",""แผน!IP63"")"),0)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IFERROR(__xludf.DUMMYFUNCTION("IMPORTRANGE(""https://docs.google.com/spreadsheets/d/1QqKyyYR6Q21VydFLVH3TRQUabQu_ym0Zz7PgGX0-kHA/edit?usp=sharing"",""แผน!JJ63"")"),0)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IFERROR(__xludf.DUMMYFUNCTION("IMPORTRANGE(""https://docs.google.com/spreadsheets/d/1QqKyyYR6Q21VydFLVH3TRQUabQu_ym0Zz7PgGX0-kHA/edit?usp=sharing"",""แผน!JN63"")"),0)</f>
        <v>0</v>
      </c>
      <c r="J800" s="161">
        <f ca="1">IFERROR(__xludf.DUMMYFUNCTION("IMPORTRANGE(""https://docs.google.com/spreadsheets/d/1MaWodYyGHDf7siQLGxnXhG4mBNTNIuy296niS2xXulU/edit?usp=sharing"",""RTK!H63"")"),0)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IFERROR(__xludf.DUMMYFUNCTION("IMPORTRANGE(""https://docs.google.com/spreadsheets/d/1MaWodYyGHDf7siQLGxnXhG4mBNTNIuy296niS2xXulU/edit?usp=sharing"",""RTK!I63"")"),0)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37">
        <f ca="1">IFERROR(__xludf.DUMMYFUNCTION("IMPORTRANGE(""https://docs.google.com/spreadsheets/d/19vJNZY_5yjcGF2XGBMNZRCAIB0Kwfpjp8YEOfu-bneM/edit?usp=sharing"",""งานกองทุน!F63"")"),5987448.12)</f>
        <v>5987448.1200000001</v>
      </c>
      <c r="K821" s="38">
        <f t="shared" ref="K821:K828" ca="1" si="335">IF(I821&gt;0,J821*100/I821,0)</f>
        <v>73.134413650906808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IFERROR(__xludf.DUMMYFUNCTION("IMPORTRANGE(""https://docs.google.com/spreadsheets/d/19vJNZY_5yjcGF2XGBMNZRCAIB0Kwfpjp8YEOfu-bneM/edit?usp=sharing"",""งานกองทุน!C63"")"),183)</f>
        <v>183</v>
      </c>
      <c r="J822" s="37">
        <f ca="1">IFERROR(__xludf.DUMMYFUNCTION("IMPORTRANGE(""https://docs.google.com/spreadsheets/d/19vJNZY_5yjcGF2XGBMNZRCAIB0Kwfpjp8YEOfu-bneM/edit?usp=sharing"",""งานกองทุน!E63"")"),137)</f>
        <v>137</v>
      </c>
      <c r="K822" s="38">
        <f t="shared" ca="1" si="335"/>
        <v>74.863387978142072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37">
        <f ca="1">IFERROR(__xludf.DUMMYFUNCTION("IMPORTRANGE(""https://docs.google.com/spreadsheets/d/19vJNZY_5yjcGF2XGBMNZRCAIB0Kwfpjp8YEOfu-bneM/edit?usp=sharing"",""งานกองทุน!K63"")"),722180.12)</f>
        <v>722180.12</v>
      </c>
      <c r="K823" s="38">
        <f t="shared" ca="1" si="335"/>
        <v>11.436391969659478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IFERROR(__xludf.DUMMYFUNCTION("IMPORTRANGE(""https://docs.google.com/spreadsheets/d/19vJNZY_5yjcGF2XGBMNZRCAIB0Kwfpjp8YEOfu-bneM/edit?usp=sharing"",""งานกองทุน!H63"")"),147)</f>
        <v>147</v>
      </c>
      <c r="J824" s="37">
        <f ca="1">IFERROR(__xludf.DUMMYFUNCTION("IMPORTRANGE(""https://docs.google.com/spreadsheets/d/19vJNZY_5yjcGF2XGBMNZRCAIB0Kwfpjp8YEOfu-bneM/edit?usp=sharing"",""งานกองทุน!J63"")"),101)</f>
        <v>101</v>
      </c>
      <c r="K824" s="38">
        <f t="shared" ca="1" si="335"/>
        <v>68.707482993197274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37">
        <f ca="1">IFERROR(__xludf.DUMMYFUNCTION("IMPORTRANGE(""https://docs.google.com/spreadsheets/d/19vJNZY_5yjcGF2XGBMNZRCAIB0Kwfpjp8YEOfu-bneM/edit?usp=sharing"",""งานกองทุน!P63"")"),380869.21)</f>
        <v>380869.21</v>
      </c>
      <c r="K825" s="38">
        <f t="shared" ca="1" si="335"/>
        <v>54.901698123265298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IFERROR(__xludf.DUMMYFUNCTION("IMPORTRANGE(""https://docs.google.com/spreadsheets/d/19vJNZY_5yjcGF2XGBMNZRCAIB0Kwfpjp8YEOfu-bneM/edit?usp=sharing"",""งานกองทุน!M63"")"),445)</f>
        <v>445</v>
      </c>
      <c r="J826" s="37">
        <f ca="1">IFERROR(__xludf.DUMMYFUNCTION("IMPORTRANGE(""https://docs.google.com/spreadsheets/d/19vJNZY_5yjcGF2XGBMNZRCAIB0Kwfpjp8YEOfu-bneM/edit?usp=sharing"",""งานกองทุน!O63"")"),430)</f>
        <v>430</v>
      </c>
      <c r="K826" s="38">
        <f t="shared" ca="1" si="335"/>
        <v>96.629213483146074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IFERROR(__xludf.DUMMYFUNCTION("IMPORTRANGE(""https://docs.google.com/spreadsheets/d/19vJNZY_5yjcGF2XGBMNZRCAIB0Kwfpjp8YEOfu-bneM/edit?usp=sharing"",""งานกองทุน!S63"")"),4980000)</f>
        <v>4980000</v>
      </c>
      <c r="J827" s="37">
        <f ca="1">IFERROR(__xludf.DUMMYFUNCTION("IMPORTRANGE(""https://docs.google.com/spreadsheets/d/19vJNZY_5yjcGF2XGBMNZRCAIB0Kwfpjp8YEOfu-bneM/edit?usp=sharing"",""งานกองทุน!U63"")"),3820000)</f>
        <v>3820000</v>
      </c>
      <c r="K827" s="38">
        <f t="shared" ca="1" si="335"/>
        <v>76.706827309236942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IFERROR(__xludf.DUMMYFUNCTION("IMPORTRANGE(""https://docs.google.com/spreadsheets/d/19vJNZY_5yjcGF2XGBMNZRCAIB0Kwfpjp8YEOfu-bneM/edit?usp=sharing"",""งานกองทุน!R63"")"),199)</f>
        <v>199</v>
      </c>
      <c r="J828" s="365">
        <f ca="1">IFERROR(__xludf.DUMMYFUNCTION("IMPORTRANGE(""https://docs.google.com/spreadsheets/d/19vJNZY_5yjcGF2XGBMNZRCAIB0Kwfpjp8YEOfu-bneM/edit?usp=sharing"",""งานกองทุน!T63"")"),77)</f>
        <v>77</v>
      </c>
      <c r="K828" s="472">
        <f t="shared" ca="1" si="335"/>
        <v>38.693467336683419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533D2-DC0A-4B57-B6BF-E9881928326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351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3629751.74</v>
      </c>
      <c r="N8" s="22">
        <f t="shared" ca="1" si="0"/>
        <v>2835737.84</v>
      </c>
      <c r="O8" s="22">
        <f t="shared" ref="O8:O16" ca="1" si="1">IF(L8&gt;0,N8*100/L8,0)</f>
        <v>85.29509658246657</v>
      </c>
      <c r="P8" s="22">
        <f t="shared" ref="P8:P16" ca="1" si="2">IF(M8&gt;0,N8*100/M8,0)</f>
        <v>78.124842775059861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3629751.74</v>
      </c>
      <c r="N10" s="30">
        <f t="shared" ca="1" si="3"/>
        <v>2835737.84</v>
      </c>
      <c r="O10" s="30">
        <f t="shared" ca="1" si="1"/>
        <v>85.29509658246657</v>
      </c>
      <c r="P10" s="30">
        <f t="shared" ca="1" si="2"/>
        <v>78.124842775059861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3248620</v>
      </c>
      <c r="M11" s="38">
        <f t="shared" ca="1" si="4"/>
        <v>3553751.74</v>
      </c>
      <c r="N11" s="38">
        <f t="shared" ca="1" si="4"/>
        <v>2759737.84</v>
      </c>
      <c r="O11" s="38">
        <f t="shared" ca="1" si="1"/>
        <v>84.951081997894491</v>
      </c>
      <c r="P11" s="38">
        <f t="shared" ca="1" si="2"/>
        <v>77.657023954070567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3248620</v>
      </c>
      <c r="M13" s="45">
        <f t="shared" ca="1" si="5"/>
        <v>3553751.74</v>
      </c>
      <c r="N13" s="45">
        <f t="shared" ca="1" si="5"/>
        <v>2759737.84</v>
      </c>
      <c r="O13" s="45">
        <f t="shared" ca="1" si="1"/>
        <v>84.951081997894491</v>
      </c>
      <c r="P13" s="45">
        <f t="shared" ca="1" si="2"/>
        <v>77.657023954070567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76000</v>
      </c>
      <c r="M14" s="38">
        <f t="shared" ca="1" si="6"/>
        <v>76000</v>
      </c>
      <c r="N14" s="38">
        <f t="shared" ca="1" si="6"/>
        <v>76000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3142951.74</v>
      </c>
      <c r="N18" s="22">
        <f t="shared" ca="1" si="8"/>
        <v>2472589.4099999997</v>
      </c>
      <c r="O18" s="22">
        <f t="shared" ref="O18:O26" ca="1" si="9">IF(L18&gt;0,N18*100/L18,0)</f>
        <v>87.129888787872375</v>
      </c>
      <c r="P18" s="22">
        <f t="shared" ref="P18:P26" ca="1" si="10">IF(M18&gt;0,N18*100/M18,0)</f>
        <v>78.670931485572211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3142951.74</v>
      </c>
      <c r="N20" s="30">
        <f t="shared" ca="1" si="11"/>
        <v>2472589.4099999997</v>
      </c>
      <c r="O20" s="30">
        <f t="shared" ca="1" si="9"/>
        <v>87.129888787872375</v>
      </c>
      <c r="P20" s="30">
        <f t="shared" ca="1" si="10"/>
        <v>78.670931485572211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2761820</v>
      </c>
      <c r="M21" s="38">
        <f t="shared" ca="1" si="12"/>
        <v>3066951.74</v>
      </c>
      <c r="N21" s="38">
        <f t="shared" ca="1" si="12"/>
        <v>2396589.4099999997</v>
      </c>
      <c r="O21" s="38">
        <f t="shared" ca="1" si="9"/>
        <v>86.775727961996068</v>
      </c>
      <c r="P21" s="38">
        <f t="shared" ca="1" si="10"/>
        <v>78.142390659202206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2761820</v>
      </c>
      <c r="M23" s="45">
        <f t="shared" ca="1" si="13"/>
        <v>3066951.74</v>
      </c>
      <c r="N23" s="45">
        <f t="shared" ca="1" si="13"/>
        <v>2396589.4099999997</v>
      </c>
      <c r="O23" s="45">
        <f t="shared" ca="1" si="9"/>
        <v>86.775727961996068</v>
      </c>
      <c r="P23" s="45">
        <f t="shared" ca="1" si="10"/>
        <v>78.142390659202206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76000</v>
      </c>
      <c r="M24" s="38">
        <f t="shared" ca="1" si="14"/>
        <v>76000</v>
      </c>
      <c r="N24" s="38">
        <f t="shared" ca="1" si="14"/>
        <v>76000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363148.43</v>
      </c>
      <c r="O28" s="22">
        <f t="shared" ref="O28:O37" ca="1" si="17">IF(L28&gt;0,N28*100/L28,0)</f>
        <v>74.599102300739517</v>
      </c>
      <c r="P28" s="22">
        <f t="shared" ref="P28:P37" ca="1" si="18">IF(M28&gt;0,N28*100/M28,0)</f>
        <v>74.599102300739517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363148.43</v>
      </c>
      <c r="O30" s="30">
        <f t="shared" ca="1" si="17"/>
        <v>74.599102300739517</v>
      </c>
      <c r="P30" s="30">
        <f t="shared" ca="1" si="18"/>
        <v>74.599102300739517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486800</v>
      </c>
      <c r="M31" s="38">
        <f t="shared" ca="1" si="20"/>
        <v>486800</v>
      </c>
      <c r="N31" s="38">
        <f t="shared" si="20"/>
        <v>363148.43</v>
      </c>
      <c r="O31" s="38">
        <f t="shared" ca="1" si="17"/>
        <v>74.599102300739517</v>
      </c>
      <c r="P31" s="38">
        <f t="shared" ca="1" si="18"/>
        <v>74.599102300739517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486800</v>
      </c>
      <c r="M33" s="45">
        <f t="shared" ca="1" si="21"/>
        <v>486800</v>
      </c>
      <c r="N33" s="45">
        <f t="shared" si="21"/>
        <v>363148.43</v>
      </c>
      <c r="O33" s="45">
        <f t="shared" ca="1" si="17"/>
        <v>74.599102300739517</v>
      </c>
      <c r="P33" s="45">
        <f t="shared" ca="1" si="18"/>
        <v>74.599102300739517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3142951.74</v>
      </c>
      <c r="N37" s="59">
        <f t="shared" ca="1" si="24"/>
        <v>2472589.4099999997</v>
      </c>
      <c r="O37" s="59">
        <f t="shared" ca="1" si="17"/>
        <v>87.129888787872375</v>
      </c>
      <c r="P37" s="59">
        <f t="shared" ca="1" si="18"/>
        <v>78.670931485572211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491151.74</v>
      </c>
      <c r="N41" s="85">
        <f t="shared" ca="1" si="25"/>
        <v>392151.74</v>
      </c>
      <c r="O41" s="85">
        <f t="shared" ref="O41:O49" ca="1" si="26">IF(L41&gt;0,N41*100/L41,0)</f>
        <v>125.40829549088583</v>
      </c>
      <c r="P41" s="85">
        <f t="shared" ref="P41:P49" ca="1" si="27">IF(M41&gt;0,N41*100/M41,0)</f>
        <v>79.84329649325889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491151.74</v>
      </c>
      <c r="N43" s="92">
        <f t="shared" ca="1" si="28"/>
        <v>392151.74</v>
      </c>
      <c r="O43" s="92">
        <f t="shared" ca="1" si="26"/>
        <v>125.40829549088583</v>
      </c>
      <c r="P43" s="92">
        <f t="shared" ca="1" si="27"/>
        <v>79.84329649325889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312700</v>
      </c>
      <c r="M44" s="38">
        <f t="shared" ca="1" si="29"/>
        <v>491151.74</v>
      </c>
      <c r="N44" s="38">
        <f t="shared" ca="1" si="29"/>
        <v>392151.74</v>
      </c>
      <c r="O44" s="38">
        <f t="shared" ca="1" si="26"/>
        <v>125.40829549088583</v>
      </c>
      <c r="P44" s="38">
        <f t="shared" ca="1" si="27"/>
        <v>79.84329649325889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IFERROR(__xludf.DUMMYFUNCTION("IMPORTRANGE(""https://docs.google.com/spreadsheets/d/1MeEWN-I1oV_STSDYn1IFDPWt_1FKiwhDph83XaGc0o0/edit?usp=sharing"",""งบพรบ!M64"")"),312700)</f>
        <v>312700</v>
      </c>
      <c r="M46" s="45">
        <f ca="1">IFERROR(__xludf.DUMMYFUNCTION("IMPORTRANGE(""https://docs.google.com/spreadsheets/d/1MeEWN-I1oV_STSDYn1IFDPWt_1FKiwhDph83XaGc0o0/edit?usp=sharing"",""งบพรบ!R64"")"),491151.74)</f>
        <v>491151.74</v>
      </c>
      <c r="N46" s="45">
        <f ca="1">IFERROR(__xludf.DUMMYFUNCTION("IMPORTRANGE(""https://docs.google.com/spreadsheets/d/1MeEWN-I1oV_STSDYn1IFDPWt_1FKiwhDph83XaGc0o0/edit?usp=sharing"",""งบพรบ!T64"")"),392151.74)</f>
        <v>392151.74</v>
      </c>
      <c r="O46" s="45">
        <f t="shared" ca="1" si="26"/>
        <v>125.40829549088583</v>
      </c>
      <c r="P46" s="45">
        <f t="shared" ca="1" si="27"/>
        <v>79.84329649325889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356900</v>
      </c>
      <c r="M53" s="115">
        <f t="shared" ca="1" si="31"/>
        <v>364150</v>
      </c>
      <c r="N53" s="115">
        <f t="shared" ca="1" si="31"/>
        <v>306372.93</v>
      </c>
      <c r="O53" s="115">
        <f t="shared" ref="O53:O61" ca="1" si="32">IF(L53&gt;0,N53*100/L53,0)</f>
        <v>85.842793499579713</v>
      </c>
      <c r="P53" s="115">
        <f t="shared" ref="P53:P61" ca="1" si="33">IF(M53&gt;0,N53*100/M53,0)</f>
        <v>84.133716874914185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356900</v>
      </c>
      <c r="M55" s="122">
        <f t="shared" ca="1" si="34"/>
        <v>364150</v>
      </c>
      <c r="N55" s="122">
        <f t="shared" ca="1" si="34"/>
        <v>306372.93</v>
      </c>
      <c r="O55" s="122">
        <f t="shared" ca="1" si="32"/>
        <v>85.842793499579713</v>
      </c>
      <c r="P55" s="122">
        <f t="shared" ca="1" si="33"/>
        <v>84.133716874914185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356900</v>
      </c>
      <c r="M56" s="38">
        <f t="shared" ca="1" si="35"/>
        <v>364150</v>
      </c>
      <c r="N56" s="38">
        <f t="shared" ca="1" si="35"/>
        <v>306372.93</v>
      </c>
      <c r="O56" s="38">
        <f t="shared" ca="1" si="32"/>
        <v>85.842793499579713</v>
      </c>
      <c r="P56" s="38">
        <f t="shared" ca="1" si="33"/>
        <v>84.133716874914185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IFERROR(__xludf.DUMMYFUNCTION("IMPORTRANGE(""https://docs.google.com/spreadsheets/d/1MeEWN-I1oV_STSDYn1IFDPWt_1FKiwhDph83XaGc0o0/edit?usp=sharing"",""งบพรบ!W64"")"),356900)</f>
        <v>356900</v>
      </c>
      <c r="M58" s="45">
        <f ca="1">IFERROR(__xludf.DUMMYFUNCTION("IMPORTRANGE(""https://docs.google.com/spreadsheets/d/1MeEWN-I1oV_STSDYn1IFDPWt_1FKiwhDph83XaGc0o0/edit?usp=sharing"",""งบพรบ!AB64"")"),364150)</f>
        <v>364150</v>
      </c>
      <c r="N58" s="45">
        <f ca="1">IFERROR(__xludf.DUMMYFUNCTION("IMPORTRANGE(""https://docs.google.com/spreadsheets/d/1MeEWN-I1oV_STSDYn1IFDPWt_1FKiwhDph83XaGc0o0/edit?usp=sharing"",""งบพรบ!AD64"")"),306372.93)</f>
        <v>306372.93</v>
      </c>
      <c r="O58" s="45">
        <f t="shared" ca="1" si="32"/>
        <v>85.842793499579713</v>
      </c>
      <c r="P58" s="45">
        <f t="shared" ca="1" si="33"/>
        <v>84.133716874914185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42</v>
      </c>
      <c r="J65" s="143">
        <f t="shared" si="37"/>
        <v>42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609800</v>
      </c>
      <c r="M66" s="154">
        <f t="shared" ca="1" si="39"/>
        <v>622800</v>
      </c>
      <c r="N66" s="154">
        <f t="shared" ca="1" si="39"/>
        <v>447049.5</v>
      </c>
      <c r="O66" s="154">
        <f t="shared" ref="O66:O74" ca="1" si="40">IF(L66&gt;0,N66*100/L66,0)</f>
        <v>73.310839619547394</v>
      </c>
      <c r="P66" s="154">
        <f t="shared" ref="P66:P74" ca="1" si="41">IF(M66&gt;0,N66*100/M66,0)</f>
        <v>71.780587668593455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609800</v>
      </c>
      <c r="M68" s="45">
        <f t="shared" ca="1" si="42"/>
        <v>622800</v>
      </c>
      <c r="N68" s="45">
        <f t="shared" ca="1" si="42"/>
        <v>447049.5</v>
      </c>
      <c r="O68" s="45">
        <f t="shared" ca="1" si="40"/>
        <v>73.310839619547394</v>
      </c>
      <c r="P68" s="45">
        <f t="shared" ca="1" si="41"/>
        <v>71.780587668593455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609800</v>
      </c>
      <c r="M69" s="38">
        <f t="shared" ca="1" si="43"/>
        <v>622800</v>
      </c>
      <c r="N69" s="38">
        <f t="shared" ca="1" si="43"/>
        <v>447049.5</v>
      </c>
      <c r="O69" s="38">
        <f t="shared" ca="1" si="40"/>
        <v>73.310839619547394</v>
      </c>
      <c r="P69" s="38">
        <f t="shared" ca="1" si="41"/>
        <v>71.780587668593455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IFERROR(__xludf.DUMMYFUNCTION("IMPORTRANGE(""https://docs.google.com/spreadsheets/d/1MeEWN-I1oV_STSDYn1IFDPWt_1FKiwhDph83XaGc0o0/edit?usp=sharing"",""งบพรบ!AG64"")"),609800)</f>
        <v>609800</v>
      </c>
      <c r="M71" s="45">
        <f ca="1">IFERROR(__xludf.DUMMYFUNCTION("IMPORTRANGE(""https://docs.google.com/spreadsheets/d/1MeEWN-I1oV_STSDYn1IFDPWt_1FKiwhDph83XaGc0o0/edit?usp=sharing"",""งบพรบ!AL64"")"),622800)</f>
        <v>622800</v>
      </c>
      <c r="N71" s="45">
        <f ca="1">IFERROR(__xludf.DUMMYFUNCTION("IMPORTRANGE(""https://docs.google.com/spreadsheets/d/1MeEWN-I1oV_STSDYn1IFDPWt_1FKiwhDph83XaGc0o0/edit?usp=sharing"",""งบพรบ!AN64"")"),447049.5)</f>
        <v>447049.5</v>
      </c>
      <c r="O71" s="45">
        <f t="shared" ca="1" si="40"/>
        <v>73.310839619547394</v>
      </c>
      <c r="P71" s="45">
        <f t="shared" ca="1" si="41"/>
        <v>71.780587668593455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IFERROR(__xludf.DUMMYFUNCTION("IMPORTRANGE(""https://docs.google.com/spreadsheets/d/1MeEWN-I1oV_STSDYn1IFDPWt_1FKiwhDph83XaGc0o0/edit?usp=sharing"",""งบพรบ!AJ64"")"),0)</f>
        <v>0</v>
      </c>
      <c r="M74" s="45">
        <f ca="1">IFERROR(__xludf.DUMMYFUNCTION("IMPORTRANGE(""https://docs.google.com/spreadsheets/d/1MeEWN-I1oV_STSDYn1IFDPWt_1FKiwhDph83XaGc0o0/edit?usp=sharing"",""งบพรบ!AM64"")"),0)</f>
        <v>0</v>
      </c>
      <c r="N74" s="45">
        <f ca="1">IFERROR(__xludf.DUMMYFUNCTION("IMPORTRANGE(""https://docs.google.com/spreadsheets/d/1MeEWN-I1oV_STSDYn1IFDPWt_1FKiwhDph83XaGc0o0/edit?usp=sharing"",""งบพรบ!AO64"")"),0)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42</v>
      </c>
      <c r="J77" s="37">
        <f t="shared" si="45"/>
        <v>42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IFERROR(__xludf.DUMMYFUNCTION("IMPORTRANGE(""https://docs.google.com/spreadsheets/d/1QqKyyYR6Q21VydFLVH3TRQUabQu_ym0Zz7PgGX0-kHA/edit?usp=sharing"",""แผน!H64"")"),1)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IFERROR(__xludf.DUMMYFUNCTION("IMPORTRANGE(""https://docs.google.com/spreadsheets/d/1QqKyyYR6Q21VydFLVH3TRQUabQu_ym0Zz7PgGX0-kHA/edit?usp=sharing"",""แผน!I64"")"),42)</f>
        <v>42</v>
      </c>
      <c r="J79" s="181">
        <v>42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IFERROR(__xludf.DUMMYFUNCTION("IMPORTRANGE(""https://docs.google.com/spreadsheets/d/1QqKyyYR6Q21VydFLVH3TRQUabQu_ym0Zz7PgGX0-kHA/edit?usp=sharing"",""แผน!J64"")"),1)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31200</v>
      </c>
      <c r="N88" s="154">
        <f t="shared" ca="1" si="49"/>
        <v>27750</v>
      </c>
      <c r="O88" s="154">
        <f t="shared" ref="O88:O96" ca="1" si="50">IF(L88&gt;0,N88*100/L88,0)</f>
        <v>88.942307692307693</v>
      </c>
      <c r="P88" s="154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31200</v>
      </c>
      <c r="N90" s="45">
        <f t="shared" ca="1" si="52"/>
        <v>27750</v>
      </c>
      <c r="O90" s="45">
        <f t="shared" ca="1" si="50"/>
        <v>88.942307692307693</v>
      </c>
      <c r="P90" s="45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31200</v>
      </c>
      <c r="N91" s="38">
        <f t="shared" ca="1" si="53"/>
        <v>27750</v>
      </c>
      <c r="O91" s="38">
        <f t="shared" ca="1" si="50"/>
        <v>88.942307692307693</v>
      </c>
      <c r="P91" s="38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IFERROR(__xludf.DUMMYFUNCTION("IMPORTRANGE(""https://docs.google.com/spreadsheets/d/1MeEWN-I1oV_STSDYn1IFDPWt_1FKiwhDph83XaGc0o0/edit?usp=sharing"",""งบพรบ!AQ64"")"),31200)</f>
        <v>31200</v>
      </c>
      <c r="M93" s="45">
        <f ca="1">IFERROR(__xludf.DUMMYFUNCTION("IMPORTRANGE(""https://docs.google.com/spreadsheets/d/1MeEWN-I1oV_STSDYn1IFDPWt_1FKiwhDph83XaGc0o0/edit?usp=sharing"",""งบพรบ!AV64"")"),31200)</f>
        <v>31200</v>
      </c>
      <c r="N93" s="45">
        <f ca="1">IFERROR(__xludf.DUMMYFUNCTION("IMPORTRANGE(""https://docs.google.com/spreadsheets/d/1MeEWN-I1oV_STSDYn1IFDPWt_1FKiwhDph83XaGc0o0/edit?usp=sharing"",""งบพรบ!AX64"")"),27750)</f>
        <v>27750</v>
      </c>
      <c r="O93" s="45">
        <f t="shared" ca="1" si="50"/>
        <v>88.942307692307693</v>
      </c>
      <c r="P93" s="45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IFERROR(__xludf.DUMMYFUNCTION("IMPORTRANGE(""https://docs.google.com/spreadsheets/d/1MeEWN-I1oV_STSDYn1IFDPWt_1FKiwhDph83XaGc0o0/edit?usp=sharing"",""งบพรบ!AT64"")"),0)</f>
        <v>0</v>
      </c>
      <c r="M96" s="45">
        <f ca="1">IFERROR(__xludf.DUMMYFUNCTION("IMPORTRANGE(""https://docs.google.com/spreadsheets/d/1MeEWN-I1oV_STSDYn1IFDPWt_1FKiwhDph83XaGc0o0/edit?usp=sharing"",""งบพรบ!AW64"")"),0)</f>
        <v>0</v>
      </c>
      <c r="N96" s="45">
        <f ca="1">IFERROR(__xludf.DUMMYFUNCTION("IMPORTRANGE(""https://docs.google.com/spreadsheets/d/1MeEWN-I1oV_STSDYn1IFDPWt_1FKiwhDph83XaGc0o0/edit?usp=sharing"",""งบพรบ!AY64"")"),0)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IFERROR(__xludf.DUMMYFUNCTION("IMPORTRANGE(""https://docs.google.com/spreadsheets/d/1QqKyyYR6Q21VydFLVH3TRQUabQu_ym0Zz7PgGX0-kHA/edit?usp=sharing"",""แผน!K64"")"),0)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IFERROR(__xludf.DUMMYFUNCTION("IMPORTRANGE(""https://docs.google.com/spreadsheets/d/1QqKyyYR6Q21VydFLVH3TRQUabQu_ym0Zz7PgGX0-kHA/edit?usp=sharing"",""แผน!L64"")"),0)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IFERROR(__xludf.DUMMYFUNCTION("IMPORTRANGE(""https://docs.google.com/spreadsheets/d/1QqKyyYR6Q21VydFLVH3TRQUabQu_ym0Zz7PgGX0-kHA/edit?usp=sharing"",""แผน!M64"")"),1)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IFERROR(__xludf.DUMMYFUNCTION("IMPORTRANGE(""https://docs.google.com/spreadsheets/d/1QqKyyYR6Q21VydFLVH3TRQUabQu_ym0Zz7PgGX0-kHA/edit?usp=sharing"",""แผน!N64"")"),0)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IFERROR(__xludf.DUMMYFUNCTION("IMPORTRANGE(""https://docs.google.com/spreadsheets/d/1QqKyyYR6Q21VydFLVH3TRQUabQu_ym0Zz7PgGX0-kHA/edit?usp=sharing"",""แผน!O64"")"),0)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IFERROR(__xludf.DUMMYFUNCTION("IMPORTRANGE(""https://docs.google.com/spreadsheets/d/1QqKyyYR6Q21VydFLVH3TRQUabQu_ym0Zz7PgGX0-kHA/edit?usp=sharing"",""แผน!O64"")"),0)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IFERROR(__xludf.DUMMYFUNCTION("IMPORTRANGE(""https://docs.google.com/spreadsheets/d/1QqKyyYR6Q21VydFLVH3TRQUabQu_ym0Zz7PgGX0-kHA/edit?usp=sharing"",""แผน!P64"")"),0)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IFERROR(__xludf.DUMMYFUNCTION("IMPORTRANGE(""https://docs.google.com/spreadsheets/d/1QqKyyYR6Q21VydFLVH3TRQUabQu_ym0Zz7PgGX0-kHA/edit?usp=sharing"",""แผน!P64"")"),0)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IFERROR(__xludf.DUMMYFUNCTION("IMPORTRANGE(""https://docs.google.com/spreadsheets/d/1QqKyyYR6Q21VydFLVH3TRQUabQu_ym0Zz7PgGX0-kHA/edit?usp=sharing"",""แผน!Q64"")"),1)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IFERROR(__xludf.DUMMYFUNCTION("IMPORTRANGE(""https://docs.google.com/spreadsheets/d/1QqKyyYR6Q21VydFLVH3TRQUabQu_ym0Zz7PgGX0-kHA/edit?usp=sharing"",""แผน!Q64"")"),1)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IFERROR(__xludf.DUMMYFUNCTION("IMPORTRANGE(""https://docs.google.com/spreadsheets/d/1QqKyyYR6Q21VydFLVH3TRQUabQu_ym0Zz7PgGX0-kHA/edit?usp=sharing"",""แผน!R64"")"),0)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IFERROR(__xludf.DUMMYFUNCTION("IMPORTRANGE(""https://docs.google.com/spreadsheets/d/1QqKyyYR6Q21VydFLVH3TRQUabQu_ym0Zz7PgGX0-kHA/edit?usp=sharing"",""แผน!R64"")"),0)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IFERROR(__xludf.DUMMYFUNCTION("IMPORTRANGE(""https://docs.google.com/spreadsheets/d/1QqKyyYR6Q21VydFLVH3TRQUabQu_ym0Zz7PgGX0-kHA/edit?usp=sharing"",""แผน!R64"")"),0)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IFERROR(__xludf.DUMMYFUNCTION("IMPORTRANGE(""https://docs.google.com/spreadsheets/d/1QqKyyYR6Q21VydFLVH3TRQUabQu_ym0Zz7PgGX0-kHA/edit?usp=sharing"",""แผน!S64"")"),0)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IFERROR(__xludf.DUMMYFUNCTION("IMPORTRANGE(""https://docs.google.com/spreadsheets/d/1QqKyyYR6Q21VydFLVH3TRQUabQu_ym0Zz7PgGX0-kHA/edit?usp=sharing"",""แผน!T64"")"),1)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IFERROR(__xludf.DUMMYFUNCTION("IMPORTRANGE(""https://docs.google.com/spreadsheets/d/1MeEWN-I1oV_STSDYn1IFDPWt_1FKiwhDph83XaGc0o0/edit?usp=sharing"",""งบพรบ!BA64"")"),0)</f>
        <v>0</v>
      </c>
      <c r="M124" s="45">
        <f ca="1">IFERROR(__xludf.DUMMYFUNCTION("IMPORTRANGE(""https://docs.google.com/spreadsheets/d/1MeEWN-I1oV_STSDYn1IFDPWt_1FKiwhDph83XaGc0o0/edit?usp=sharing"",""งบพรบ!BF64"")"),0)</f>
        <v>0</v>
      </c>
      <c r="N124" s="45">
        <f ca="1">IFERROR(__xludf.DUMMYFUNCTION("IMPORTRANGE(""https://docs.google.com/spreadsheets/d/1MeEWN-I1oV_STSDYn1IFDPWt_1FKiwhDph83XaGc0o0/edit?usp=sharing"",""งบพรบ!BH64"")"),0)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IFERROR(__xludf.DUMMYFUNCTION("IMPORTRANGE(""https://docs.google.com/spreadsheets/d/1MeEWN-I1oV_STSDYn1IFDPWt_1FKiwhDph83XaGc0o0/edit?usp=sharing"",""งบพรบ!BD64"")"),0)</f>
        <v>0</v>
      </c>
      <c r="M127" s="45">
        <f ca="1">IFERROR(__xludf.DUMMYFUNCTION("IMPORTRANGE(""https://docs.google.com/spreadsheets/d/1MeEWN-I1oV_STSDYn1IFDPWt_1FKiwhDph83XaGc0o0/edit?usp=sharing"",""งบพรบ!BG64"")"),0)</f>
        <v>0</v>
      </c>
      <c r="N127" s="45">
        <f ca="1">IFERROR(__xludf.DUMMYFUNCTION("IMPORTRANGE(""https://docs.google.com/spreadsheets/d/1MeEWN-I1oV_STSDYn1IFDPWt_1FKiwhDph83XaGc0o0/edit?usp=sharing"",""งบพรบ!BI64"")"),0)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IFERROR(__xludf.DUMMYFUNCTION("IMPORTRANGE(""https://docs.google.com/spreadsheets/d/1MeEWN-I1oV_STSDYn1IFDPWt_1FKiwhDph83XaGc0o0/edit?usp=sharing"",""งบพรบ!BK64"")"),0)</f>
        <v>0</v>
      </c>
      <c r="M137" s="45">
        <f ca="1">IFERROR(__xludf.DUMMYFUNCTION("IMPORTRANGE(""https://docs.google.com/spreadsheets/d/1MeEWN-I1oV_STSDYn1IFDPWt_1FKiwhDph83XaGc0o0/edit?usp=sharing"",""งบพรบ!BP64"")"),0)</f>
        <v>0</v>
      </c>
      <c r="N137" s="45">
        <f ca="1">IFERROR(__xludf.DUMMYFUNCTION("IMPORTRANGE(""https://docs.google.com/spreadsheets/d/1MeEWN-I1oV_STSDYn1IFDPWt_1FKiwhDph83XaGc0o0/edit?usp=sharing"",""งบพรบ!BR64"")"),0)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IFERROR(__xludf.DUMMYFUNCTION("IMPORTRANGE(""https://docs.google.com/spreadsheets/d/1MeEWN-I1oV_STSDYn1IFDPWt_1FKiwhDph83XaGc0o0/edit?usp=sharing"",""งบพรบ!BN64"")"),0)</f>
        <v>0</v>
      </c>
      <c r="M140" s="45">
        <f ca="1">IFERROR(__xludf.DUMMYFUNCTION("IMPORTRANGE(""https://docs.google.com/spreadsheets/d/1MeEWN-I1oV_STSDYn1IFDPWt_1FKiwhDph83XaGc0o0/edit?usp=sharing"",""งบพรบ!BQ64"")"),0)</f>
        <v>0</v>
      </c>
      <c r="N140" s="45">
        <f ca="1">IFERROR(__xludf.DUMMYFUNCTION("IMPORTRANGE(""https://docs.google.com/spreadsheets/d/1MeEWN-I1oV_STSDYn1IFDPWt_1FKiwhDph83XaGc0o0/edit?usp=sharing"",""งบพรบ!BS64"")"),0)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10</v>
      </c>
      <c r="J148" s="143">
        <f t="shared" si="76"/>
        <v>11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5000</v>
      </c>
      <c r="M149" s="154">
        <f t="shared" ca="1" si="77"/>
        <v>14910</v>
      </c>
      <c r="N149" s="154">
        <f t="shared" ca="1" si="77"/>
        <v>14910</v>
      </c>
      <c r="O149" s="154">
        <f t="shared" ref="O149:O157" ca="1" si="78">IF(L149&gt;0,N149*100/L149,0)</f>
        <v>298.2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5000</v>
      </c>
      <c r="M151" s="45">
        <f t="shared" ca="1" si="80"/>
        <v>14910</v>
      </c>
      <c r="N151" s="45">
        <f t="shared" ca="1" si="80"/>
        <v>14910</v>
      </c>
      <c r="O151" s="45">
        <f t="shared" ca="1" si="78"/>
        <v>298.2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5000</v>
      </c>
      <c r="M152" s="38">
        <f t="shared" ca="1" si="81"/>
        <v>14910</v>
      </c>
      <c r="N152" s="38">
        <f t="shared" ca="1" si="81"/>
        <v>14910</v>
      </c>
      <c r="O152" s="38">
        <f t="shared" ca="1" si="78"/>
        <v>298.2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IFERROR(__xludf.DUMMYFUNCTION("IMPORTRANGE(""https://docs.google.com/spreadsheets/d/1MeEWN-I1oV_STSDYn1IFDPWt_1FKiwhDph83XaGc0o0/edit?usp=sharing"",""งบพรบ!BU64"")"),5000)</f>
        <v>5000</v>
      </c>
      <c r="M154" s="45">
        <f ca="1">IFERROR(__xludf.DUMMYFUNCTION("IMPORTRANGE(""https://docs.google.com/spreadsheets/d/1MeEWN-I1oV_STSDYn1IFDPWt_1FKiwhDph83XaGc0o0/edit?usp=sharing"",""งบพรบ!BZ64"")"),14910)</f>
        <v>14910</v>
      </c>
      <c r="N154" s="45">
        <f ca="1">IFERROR(__xludf.DUMMYFUNCTION("IMPORTRANGE(""https://docs.google.com/spreadsheets/d/1MeEWN-I1oV_STSDYn1IFDPWt_1FKiwhDph83XaGc0o0/edit?usp=sharing"",""งบพรบ!CB64"")"),14910)</f>
        <v>14910</v>
      </c>
      <c r="O154" s="45">
        <f t="shared" ca="1" si="78"/>
        <v>298.2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IFERROR(__xludf.DUMMYFUNCTION("IMPORTRANGE(""https://docs.google.com/spreadsheets/d/1MeEWN-I1oV_STSDYn1IFDPWt_1FKiwhDph83XaGc0o0/edit?usp=sharing"",""งบพรบ!BX64"")"),0)</f>
        <v>0</v>
      </c>
      <c r="M157" s="45">
        <f ca="1">IFERROR(__xludf.DUMMYFUNCTION("IMPORTRANGE(""https://docs.google.com/spreadsheets/d/1MeEWN-I1oV_STSDYn1IFDPWt_1FKiwhDph83XaGc0o0/edit?usp=sharing"",""งบพรบ!CA64"")"),0)</f>
        <v>0</v>
      </c>
      <c r="N157" s="45">
        <f ca="1">IFERROR(__xludf.DUMMYFUNCTION("IMPORTRANGE(""https://docs.google.com/spreadsheets/d/1MeEWN-I1oV_STSDYn1IFDPWt_1FKiwhDph83XaGc0o0/edit?usp=sharing"",""งบพรบ!CC64"")"),0)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IFERROR(__xludf.DUMMYFUNCTION("IMPORTRANGE(""https://docs.google.com/spreadsheets/d/1QqKyyYR6Q21VydFLVH3TRQUabQu_ym0Zz7PgGX0-kHA/edit?usp=sharing"",""แผน!X64"")"),10)</f>
        <v>10</v>
      </c>
      <c r="J159" s="181">
        <v>11</v>
      </c>
      <c r="K159" s="38">
        <f ca="1">IF(I159&gt;0,J159*100/I159,0)</f>
        <v>110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IFERROR(__xludf.DUMMYFUNCTION("IMPORTRANGE(""https://docs.google.com/spreadsheets/d/1MeEWN-I1oV_STSDYn1IFDPWt_1FKiwhDph83XaGc0o0/edit?usp=sharing"",""งบพรบ!CE64"")"),23060)</f>
        <v>23060</v>
      </c>
      <c r="M170" s="45">
        <f ca="1">IFERROR(__xludf.DUMMYFUNCTION("IMPORTRANGE(""https://docs.google.com/spreadsheets/d/1MeEWN-I1oV_STSDYn1IFDPWt_1FKiwhDph83XaGc0o0/edit?usp=sharing"",""งบพรบ!CJ64"")"),23060)</f>
        <v>23060</v>
      </c>
      <c r="N170" s="45">
        <f ca="1">IFERROR(__xludf.DUMMYFUNCTION("IMPORTRANGE(""https://docs.google.com/spreadsheets/d/1MeEWN-I1oV_STSDYn1IFDPWt_1FKiwhDph83XaGc0o0/edit?usp=sharing"",""งบพรบ!CL64"")"),23060)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IFERROR(__xludf.DUMMYFUNCTION("IMPORTRANGE(""https://docs.google.com/spreadsheets/d/1MeEWN-I1oV_STSDYn1IFDPWt_1FKiwhDph83XaGc0o0/edit?usp=sharing"",""งบพรบ!CH64"")"),0)</f>
        <v>0</v>
      </c>
      <c r="M173" s="45">
        <f ca="1">IFERROR(__xludf.DUMMYFUNCTION("IMPORTRANGE(""https://docs.google.com/spreadsheets/d/1MeEWN-I1oV_STSDYn1IFDPWt_1FKiwhDph83XaGc0o0/edit?usp=sharing"",""งบพรบ!CK64"")"),0)</f>
        <v>0</v>
      </c>
      <c r="N173" s="45">
        <f ca="1">IFERROR(__xludf.DUMMYFUNCTION("IMPORTRANGE(""https://docs.google.com/spreadsheets/d/1MeEWN-I1oV_STSDYn1IFDPWt_1FKiwhDph83XaGc0o0/edit?usp=sharing"",""งบพรบ!CM64"")"),0)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IFERROR(__xludf.DUMMYFUNCTION("IMPORTRANGE(""https://docs.google.com/spreadsheets/d/1QqKyyYR6Q21VydFLVH3TRQUabQu_ym0Zz7PgGX0-kHA/edit?usp=sharing"",""แผน!Y64"")"),12)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35</v>
      </c>
      <c r="J180" s="242">
        <f t="shared" si="91"/>
        <v>35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527750</v>
      </c>
      <c r="M181" s="154">
        <f t="shared" ca="1" si="92"/>
        <v>559770</v>
      </c>
      <c r="N181" s="154">
        <f t="shared" ca="1" si="92"/>
        <v>504007.61</v>
      </c>
      <c r="O181" s="154">
        <f t="shared" ref="O181:O189" ca="1" si="93">IF(L181&gt;0,N181*100/L181,0)</f>
        <v>95.501205116058742</v>
      </c>
      <c r="P181" s="154">
        <f t="shared" ref="P181:P189" ca="1" si="94">IF(M181&gt;0,N181*100/M181,0)</f>
        <v>90.038338960644552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527750</v>
      </c>
      <c r="M183" s="45">
        <f t="shared" ca="1" si="95"/>
        <v>559770</v>
      </c>
      <c r="N183" s="45">
        <f t="shared" ca="1" si="95"/>
        <v>504007.61</v>
      </c>
      <c r="O183" s="45">
        <f t="shared" ca="1" si="93"/>
        <v>95.501205116058742</v>
      </c>
      <c r="P183" s="45">
        <f t="shared" ca="1" si="94"/>
        <v>90.038338960644552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527750</v>
      </c>
      <c r="M184" s="38">
        <f t="shared" ca="1" si="96"/>
        <v>559770</v>
      </c>
      <c r="N184" s="38">
        <f t="shared" ca="1" si="96"/>
        <v>504007.61</v>
      </c>
      <c r="O184" s="38">
        <f t="shared" ca="1" si="93"/>
        <v>95.501205116058742</v>
      </c>
      <c r="P184" s="38">
        <f t="shared" ca="1" si="94"/>
        <v>90.038338960644552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IFERROR(__xludf.DUMMYFUNCTION("IMPORTRANGE(""https://docs.google.com/spreadsheets/d/1MeEWN-I1oV_STSDYn1IFDPWt_1FKiwhDph83XaGc0o0/edit?usp=sharing"",""งบพรบ!CO64"")"),527750)</f>
        <v>527750</v>
      </c>
      <c r="M186" s="45">
        <f ca="1">IFERROR(__xludf.DUMMYFUNCTION("IMPORTRANGE(""https://docs.google.com/spreadsheets/d/1MeEWN-I1oV_STSDYn1IFDPWt_1FKiwhDph83XaGc0o0/edit?usp=sharing"",""งบพรบ!CT64"")"),559770)</f>
        <v>559770</v>
      </c>
      <c r="N186" s="45">
        <f ca="1">IFERROR(__xludf.DUMMYFUNCTION("IMPORTRANGE(""https://docs.google.com/spreadsheets/d/1MeEWN-I1oV_STSDYn1IFDPWt_1FKiwhDph83XaGc0o0/edit?usp=sharing"",""งบพรบ!CV64"")"),504007.61)</f>
        <v>504007.61</v>
      </c>
      <c r="O186" s="45">
        <f t="shared" ca="1" si="93"/>
        <v>95.501205116058742</v>
      </c>
      <c r="P186" s="45">
        <f t="shared" ca="1" si="94"/>
        <v>90.038338960644552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IFERROR(__xludf.DUMMYFUNCTION("IMPORTRANGE(""https://docs.google.com/spreadsheets/d/1MeEWN-I1oV_STSDYn1IFDPWt_1FKiwhDph83XaGc0o0/edit?usp=sharing"",""งบพรบ!CR64"")"),0)</f>
        <v>0</v>
      </c>
      <c r="M189" s="45">
        <f ca="1">IFERROR(__xludf.DUMMYFUNCTION("IMPORTRANGE(""https://docs.google.com/spreadsheets/d/1MeEWN-I1oV_STSDYn1IFDPWt_1FKiwhDph83XaGc0o0/edit?usp=sharing"",""งบพรบ!CU64"")"),0)</f>
        <v>0</v>
      </c>
      <c r="N189" s="45">
        <f ca="1">IFERROR(__xludf.DUMMYFUNCTION("IMPORTRANGE(""https://docs.google.com/spreadsheets/d/1MeEWN-I1oV_STSDYn1IFDPWt_1FKiwhDph83XaGc0o0/edit?usp=sharing"",""งบพรบ!CW64"")"),0)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IFERROR(__xludf.DUMMYFUNCTION("IMPORTRANGE(""https://docs.google.com/spreadsheets/d/1QqKyyYR6Q21VydFLVH3TRQUabQu_ym0Zz7PgGX0-kHA/edit?usp=sharing"",""แผน!Z64"")"),6000)</f>
        <v>6000</v>
      </c>
      <c r="M191" s="154"/>
      <c r="N191" s="264">
        <v>5880</v>
      </c>
      <c r="O191" s="154">
        <f ca="1">IF(L191&gt;0,N191*100/L191,0)</f>
        <v>98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IFERROR(__xludf.DUMMYFUNCTION("IMPORTRANGE(""https://docs.google.com/spreadsheets/d/1QqKyyYR6Q21VydFLVH3TRQUabQu_ym0Zz7PgGX0-kHA/edit?usp=sharing"",""แผน!AC64"")"),4)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179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179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IFERROR(__xludf.DUMMYFUNCTION("IMPORTRANGE(""https://docs.google.com/spreadsheets/d/1QqKyyYR6Q21VydFLVH3TRQUabQu_ym0Zz7PgGX0-kHA/edit?usp=sharing"",""แผน!AE64"")"),0)</f>
        <v>0</v>
      </c>
      <c r="M199" s="38"/>
      <c r="N199" s="271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IFERROR(__xludf.DUMMYFUNCTION("IMPORTRANGE(""https://docs.google.com/spreadsheets/d/1QqKyyYR6Q21VydFLVH3TRQUabQu_ym0Zz7PgGX0-kHA/edit?usp=sharing"",""แผน!AF64"")"),0)</f>
        <v>0</v>
      </c>
      <c r="M200" s="38"/>
      <c r="N200" s="271">
        <v>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 hidden="1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IFERROR(__xludf.DUMMYFUNCTION("IMPORTRANGE(""https://docs.google.com/spreadsheets/d/1QqKyyYR6Q21VydFLVH3TRQUabQu_ym0Zz7PgGX0-kHA/edit?usp=sharing"",""แผน!AG64"")"),0)</f>
        <v>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 hidden="1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IFERROR(__xludf.DUMMYFUNCTION("IMPORTRANGE(""https://docs.google.com/spreadsheets/d/1QqKyyYR6Q21VydFLVH3TRQUabQu_ym0Zz7PgGX0-kHA/edit?usp=sharing"",""แผน!AH64"")"),0)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 hidden="1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IFERROR(__xludf.DUMMYFUNCTION("IMPORTRANGE(""https://docs.google.com/spreadsheets/d/1QqKyyYR6Q21VydFLVH3TRQUabQu_ym0Zz7PgGX0-kHA/edit?usp=sharing"",""แผน!AI64"")"),0)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76" t="s">
        <v>344</v>
      </c>
      <c r="F206" s="177"/>
      <c r="G206" s="178"/>
      <c r="H206" s="174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345</v>
      </c>
      <c r="F207" s="177"/>
      <c r="G207" s="178"/>
      <c r="H207" s="180" t="s">
        <v>66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IFERROR(__xludf.DUMMYFUNCTION("IMPORTRANGE(""https://docs.google.com/spreadsheets/d/1QqKyyYR6Q21VydFLVH3TRQUabQu_ym0Zz7PgGX0-kHA/edit?usp=sharing"",""แผน!AK64"")"),0)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IFERROR(__xludf.DUMMYFUNCTION("IMPORTRANGE(""https://docs.google.com/spreadsheets/d/1QqKyyYR6Q21VydFLVH3TRQUabQu_ym0Zz7PgGX0-kHA/edit?usp=sharing"",""แผน!AL64"")"),0)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IFERROR(__xludf.DUMMYFUNCTION("IMPORTRANGE(""https://docs.google.com/spreadsheets/d/1QqKyyYR6Q21VydFLVH3TRQUabQu_ym0Zz7PgGX0-kHA/edit?usp=sharing"",""แผน!AM64"")"),0)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IFERROR(__xludf.DUMMYFUNCTION("IMPORTRANGE(""https://docs.google.com/spreadsheets/d/1QqKyyYR6Q21VydFLVH3TRQUabQu_ym0Zz7PgGX0-kHA/edit?usp=sharing"",""แผน!AN64"")"),0)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IFERROR(__xludf.DUMMYFUNCTION("IMPORTRANGE(""https://docs.google.com/spreadsheets/d/1QqKyyYR6Q21VydFLVH3TRQUabQu_ym0Zz7PgGX0-kHA/edit?usp=sharing"",""แผน!AN64"")"),0)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2">I224</f>
        <v>20000</v>
      </c>
      <c r="J216" s="260">
        <f t="shared" si="102"/>
        <v>20000</v>
      </c>
      <c r="K216" s="261">
        <f t="shared" ca="1" si="101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7880</v>
      </c>
      <c r="O217" s="154">
        <f ca="1">IF(L217&gt;0,N217*100/L217,0)</f>
        <v>98.5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IFERROR(__xludf.DUMMYFUNCTION("IMPORTRANGE(""https://docs.google.com/spreadsheets/d/1QqKyyYR6Q21VydFLVH3TRQUabQu_ym0Zz7PgGX0-kHA/edit?usp=sharing"",""แผน!AP64"")"),3000)</f>
        <v>3000</v>
      </c>
      <c r="M218" s="38"/>
      <c r="N218" s="271">
        <v>2880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IFERROR(__xludf.DUMMYFUNCTION("IMPORTRANGE(""https://docs.google.com/spreadsheets/d/1QqKyyYR6Q21VydFLVH3TRQUabQu_ym0Zz7PgGX0-kHA/edit?usp=sharing"",""แผน!AQ64"")"),5000)</f>
        <v>5000</v>
      </c>
      <c r="M219" s="38"/>
      <c r="N219" s="271">
        <v>5000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IFERROR(__xludf.DUMMYFUNCTION("IMPORTRANGE(""https://docs.google.com/spreadsheets/d/1QqKyyYR6Q21VydFLVH3TRQUabQu_ym0Zz7PgGX0-kHA/edit?usp=sharing"",""แผน!AR64"")"),0)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IFERROR(__xludf.DUMMYFUNCTION("IMPORTRANGE(""https://docs.google.com/spreadsheets/d/1QqKyyYR6Q21VydFLVH3TRQUabQu_ym0Zz7PgGX0-kHA/edit?usp=sharing"",""แผน!AT64"")"),20000)</f>
        <v>20000</v>
      </c>
      <c r="J223" s="181">
        <v>20000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IFERROR(__xludf.DUMMYFUNCTION("IMPORTRANGE(""https://docs.google.com/spreadsheets/d/1QqKyyYR6Q21VydFLVH3TRQUabQu_ym0Zz7PgGX0-kHA/edit?usp=sharing"",""แผน!AT64"")"),20000)</f>
        <v>20000</v>
      </c>
      <c r="J224" s="181">
        <v>20000</v>
      </c>
      <c r="K224" s="162">
        <f t="shared" ca="1" si="103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IFERROR(__xludf.DUMMYFUNCTION("IMPORTRANGE(""https://docs.google.com/spreadsheets/d/1QqKyyYR6Q21VydFLVH3TRQUabQu_ym0Zz7PgGX0-kHA/edit?usp=sharing"",""แผน!AS64"")"),0)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35</v>
      </c>
      <c r="J226" s="330">
        <f t="shared" si="104"/>
        <v>35</v>
      </c>
      <c r="K226" s="331">
        <f t="shared" ca="1" si="103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227750</v>
      </c>
      <c r="M227" s="341"/>
      <c r="N227" s="341">
        <f t="shared" ref="N227:N231" si="106">N238+N249</f>
        <v>203379.39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163000</v>
      </c>
      <c r="M228" s="45"/>
      <c r="N228" s="45">
        <f t="shared" si="106"/>
        <v>138629.39000000001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37250</v>
      </c>
      <c r="M229" s="45"/>
      <c r="N229" s="45">
        <f t="shared" si="106"/>
        <v>37250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17500</v>
      </c>
      <c r="M230" s="45"/>
      <c r="N230" s="45">
        <f t="shared" si="106"/>
        <v>17500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10000</v>
      </c>
      <c r="M231" s="45"/>
      <c r="N231" s="45">
        <f t="shared" si="106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35</v>
      </c>
      <c r="J233" s="44">
        <f t="shared" si="107"/>
        <v>35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35</v>
      </c>
      <c r="J235" s="44">
        <f t="shared" si="108"/>
        <v>35</v>
      </c>
      <c r="K235" s="45">
        <f t="shared" ref="K235:K237" si="109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1</v>
      </c>
      <c r="J236" s="44">
        <f t="shared" si="108"/>
        <v>1</v>
      </c>
      <c r="K236" s="45">
        <f t="shared" si="109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342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35</v>
      </c>
      <c r="J237" s="260">
        <f t="shared" si="110"/>
        <v>35</v>
      </c>
      <c r="K237" s="261">
        <f t="shared" ca="1" si="109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227750</v>
      </c>
      <c r="M238" s="154"/>
      <c r="N238" s="154">
        <f>N239+N240+N241+N242</f>
        <v>203379.39</v>
      </c>
      <c r="O238" s="154">
        <f ca="1">IF(L238&gt;0,N238*100/L238,0)</f>
        <v>89.299402854006587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IFERROR(__xludf.DUMMYFUNCTION("IMPORTRANGE(""https://docs.google.com/spreadsheets/d/1QqKyyYR6Q21VydFLVH3TRQUabQu_ym0Zz7PgGX0-kHA/edit?usp=sharing"",""แผน!AV64"")"),163000)</f>
        <v>163000</v>
      </c>
      <c r="M239" s="270"/>
      <c r="N239" s="808">
        <v>138629.39000000001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IFERROR(__xludf.DUMMYFUNCTION("IMPORTRANGE(""https://docs.google.com/spreadsheets/d/1QqKyyYR6Q21VydFLVH3TRQUabQu_ym0Zz7PgGX0-kHA/edit?usp=sharing"",""แผน!AW64"")"),37250)</f>
        <v>37250</v>
      </c>
      <c r="M240" s="270"/>
      <c r="N240" s="808">
        <v>37250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IFERROR(__xludf.DUMMYFUNCTION("IMPORTRANGE(""https://docs.google.com/spreadsheets/d/1QqKyyYR6Q21VydFLVH3TRQUabQu_ym0Zz7PgGX0-kHA/edit?usp=sharing"",""แผน!AX64"")"),17500)</f>
        <v>17500</v>
      </c>
      <c r="M241" s="270"/>
      <c r="N241" s="808">
        <v>17500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IFERROR(__xludf.DUMMYFUNCTION("IMPORTRANGE(""https://docs.google.com/spreadsheets/d/1QqKyyYR6Q21VydFLVH3TRQUabQu_ym0Zz7PgGX0-kHA/edit?usp=sharing"",""แผน!AY64"")"),10000)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IFERROR(__xludf.DUMMYFUNCTION("IMPORTRANGE(""https://docs.google.com/spreadsheets/d/1QqKyyYR6Q21VydFLVH3TRQUabQu_ym0Zz7PgGX0-kHA/edit?usp=sharing"",""แผน!BE64"")"),35)</f>
        <v>35</v>
      </c>
      <c r="J244" s="181">
        <v>35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35</v>
      </c>
      <c r="J246" s="181">
        <v>35</v>
      </c>
      <c r="K246" s="38">
        <f t="shared" ref="K246:K248" si="111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1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IFERROR(__xludf.DUMMYFUNCTION("IMPORTRANGE(""https://docs.google.com/spreadsheets/d/1QqKyyYR6Q21VydFLVH3TRQUabQu_ym0Zz7PgGX0-kHA/edit?usp=sharing"",""แผน!AZ64"")"),0)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IFERROR(__xludf.DUMMYFUNCTION("IMPORTRANGE(""https://docs.google.com/spreadsheets/d/1QqKyyYR6Q21VydFLVH3TRQUabQu_ym0Zz7PgGX0-kHA/edit?usp=sharing"",""แผน!BA64"")"),0)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IFERROR(__xludf.DUMMYFUNCTION("IMPORTRANGE(""https://docs.google.com/spreadsheets/d/1QqKyyYR6Q21VydFLVH3TRQUabQu_ym0Zz7PgGX0-kHA/edit?usp=sharing"",""แผน!BB64"")"),0)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IFERROR(__xludf.DUMMYFUNCTION("IMPORTRANGE(""https://docs.google.com/spreadsheets/d/1QqKyyYR6Q21VydFLVH3TRQUabQu_ym0Zz7PgGX0-kHA/edit?usp=sharing"",""แผน!BC64"")"),0)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22</v>
      </c>
      <c r="J260" s="242">
        <f t="shared" si="114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26900</v>
      </c>
      <c r="M261" s="154">
        <f t="shared" ca="1" si="115"/>
        <v>26900</v>
      </c>
      <c r="N261" s="154">
        <f t="shared" ca="1" si="115"/>
        <v>24985</v>
      </c>
      <c r="O261" s="154">
        <f t="shared" ref="O261:O269" ca="1" si="116">IF(L261&gt;0,N261*100/L261,0)</f>
        <v>92.881040892193312</v>
      </c>
      <c r="P261" s="154">
        <f t="shared" ref="P261:P269" ca="1" si="117">IF(M261&gt;0,N261*100/M261,0)</f>
        <v>92.881040892193312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26900</v>
      </c>
      <c r="M263" s="45">
        <f t="shared" ca="1" si="118"/>
        <v>26900</v>
      </c>
      <c r="N263" s="45">
        <f t="shared" ca="1" si="118"/>
        <v>24985</v>
      </c>
      <c r="O263" s="45">
        <f t="shared" ca="1" si="116"/>
        <v>92.881040892193312</v>
      </c>
      <c r="P263" s="45">
        <f t="shared" ca="1" si="117"/>
        <v>92.881040892193312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26900</v>
      </c>
      <c r="M264" s="38">
        <f t="shared" ca="1" si="119"/>
        <v>26900</v>
      </c>
      <c r="N264" s="38">
        <f t="shared" ca="1" si="119"/>
        <v>24985</v>
      </c>
      <c r="O264" s="38">
        <f t="shared" ca="1" si="116"/>
        <v>92.881040892193312</v>
      </c>
      <c r="P264" s="38">
        <f t="shared" ca="1" si="117"/>
        <v>92.881040892193312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IFERROR(__xludf.DUMMYFUNCTION("IMPORTRANGE(""https://docs.google.com/spreadsheets/d/1MeEWN-I1oV_STSDYn1IFDPWt_1FKiwhDph83XaGc0o0/edit?usp=sharing"",""งบพรบ!CY64"")"),26900)</f>
        <v>26900</v>
      </c>
      <c r="M266" s="45">
        <f ca="1">IFERROR(__xludf.DUMMYFUNCTION("IMPORTRANGE(""https://docs.google.com/spreadsheets/d/1MeEWN-I1oV_STSDYn1IFDPWt_1FKiwhDph83XaGc0o0/edit?usp=sharing"",""งบพรบ!DD64"")"),26900)</f>
        <v>26900</v>
      </c>
      <c r="N266" s="45">
        <f ca="1">IFERROR(__xludf.DUMMYFUNCTION("IMPORTRANGE(""https://docs.google.com/spreadsheets/d/1MeEWN-I1oV_STSDYn1IFDPWt_1FKiwhDph83XaGc0o0/edit?usp=sharing"",""งบพรบ!DF64"")"),24985)</f>
        <v>24985</v>
      </c>
      <c r="O266" s="45">
        <f t="shared" ca="1" si="116"/>
        <v>92.881040892193312</v>
      </c>
      <c r="P266" s="45">
        <f t="shared" ca="1" si="117"/>
        <v>92.881040892193312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IFERROR(__xludf.DUMMYFUNCTION("IMPORTRANGE(""https://docs.google.com/spreadsheets/d/1MeEWN-I1oV_STSDYn1IFDPWt_1FKiwhDph83XaGc0o0/edit?usp=sharing"",""งบพรบ!DB64"")"),0)</f>
        <v>0</v>
      </c>
      <c r="M269" s="45">
        <f ca="1">IFERROR(__xludf.DUMMYFUNCTION("IMPORTRANGE(""https://docs.google.com/spreadsheets/d/1MeEWN-I1oV_STSDYn1IFDPWt_1FKiwhDph83XaGc0o0/edit?usp=sharing"",""งบพรบ!DE64"")"),0)</f>
        <v>0</v>
      </c>
      <c r="N269" s="45">
        <f ca="1">IFERROR(__xludf.DUMMYFUNCTION("IMPORTRANGE(""https://docs.google.com/spreadsheets/d/1MeEWN-I1oV_STSDYn1IFDPWt_1FKiwhDph83XaGc0o0/edit?usp=sharing"",""งบพรบ!DG64"")"),0)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IFERROR(__xludf.DUMMYFUNCTION("IMPORTRANGE(""https://docs.google.com/spreadsheets/d/1QqKyyYR6Q21VydFLVH3TRQUabQu_ym0Zz7PgGX0-kHA/edit?usp=sharing"",""แผน!EA64"")"),22)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3">I287</f>
        <v>0</v>
      </c>
      <c r="J276" s="81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IFERROR(__xludf.DUMMYFUNCTION("IMPORTRANGE(""https://docs.google.com/spreadsheets/d/1MeEWN-I1oV_STSDYn1IFDPWt_1FKiwhDph83XaGc0o0/edit?usp=sharing"",""งบพรบ!DI64"")"),0)</f>
        <v>0</v>
      </c>
      <c r="M282" s="45">
        <f ca="1">IFERROR(__xludf.DUMMYFUNCTION("IMPORTRANGE(""https://docs.google.com/spreadsheets/d/1MeEWN-I1oV_STSDYn1IFDPWt_1FKiwhDph83XaGc0o0/edit?usp=sharing"",""งบพรบ!DN64"")"),0)</f>
        <v>0</v>
      </c>
      <c r="N282" s="45">
        <f ca="1">IFERROR(__xludf.DUMMYFUNCTION("IMPORTRANGE(""https://docs.google.com/spreadsheets/d/1MeEWN-I1oV_STSDYn1IFDPWt_1FKiwhDph83XaGc0o0/edit?usp=sharing"",""งบพรบ!DP64"")"),0)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IFERROR(__xludf.DUMMYFUNCTION("IMPORTRANGE(""https://docs.google.com/spreadsheets/d/1MeEWN-I1oV_STSDYn1IFDPWt_1FKiwhDph83XaGc0o0/edit?usp=sharing"",""งบพรบ!DL64"")"),0)</f>
        <v>0</v>
      </c>
      <c r="M285" s="45">
        <f ca="1">IFERROR(__xludf.DUMMYFUNCTION("IMPORTRANGE(""https://docs.google.com/spreadsheets/d/1MeEWN-I1oV_STSDYn1IFDPWt_1FKiwhDph83XaGc0o0/edit?usp=sharing"",""งบพรบ!DO64"")"),0)</f>
        <v>0</v>
      </c>
      <c r="N285" s="45">
        <f ca="1">IFERROR(__xludf.DUMMYFUNCTION("IMPORTRANGE(""https://docs.google.com/spreadsheets/d/1MeEWN-I1oV_STSDYn1IFDPWt_1FKiwhDph83XaGc0o0/edit?usp=sharing"",""งบพรบ!DQ64"")"),0)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IFERROR(__xludf.DUMMYFUNCTION("IMPORTRANGE(""https://docs.google.com/spreadsheets/d/1QqKyyYR6Q21VydFLVH3TRQUabQu_ym0Zz7PgGX0-kHA/edit?usp=sharing"",""แผน!EC64"")"),0)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IFERROR(__xludf.DUMMYFUNCTION("IMPORTRANGE(""https://docs.google.com/spreadsheets/d/1QqKyyYR6Q21VydFLVH3TRQUabQu_ym0Zz7PgGX0-kHA/edit?usp=sharing"",""แผน!EB64"")"),0)</f>
        <v>0</v>
      </c>
      <c r="J288" s="190">
        <f ca="1">IF(AND(J291&gt;=I288,J294&gt;=I288),J294,0)</f>
        <v>0</v>
      </c>
      <c r="K288" s="390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IFERROR(__xludf.DUMMYFUNCTION("IMPORTRANGE(""https://docs.google.com/spreadsheets/d/1QqKyyYR6Q21VydFLVH3TRQUabQu_ym0Zz7PgGX0-kHA/edit?usp=sharing"",""แผน!EB64"")"),0)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IFERROR(__xludf.DUMMYFUNCTION("IMPORTRANGE(""https://docs.google.com/spreadsheets/d/1QqKyyYR6Q21VydFLVH3TRQUabQu_ym0Zz7PgGX0-kHA/edit?usp=sharing"",""แผน!EB64"")"),0)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IFERROR(__xludf.DUMMYFUNCTION("IMPORTRANGE(""https://docs.google.com/spreadsheets/d/1QqKyyYR6Q21VydFLVH3TRQUabQu_ym0Zz7PgGX0-kHA/edit?usp=sharing"",""แผน!EB64"")"),0)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IFERROR(__xludf.DUMMYFUNCTION("IMPORTRANGE(""https://docs.google.com/spreadsheets/d/1QqKyyYR6Q21VydFLVH3TRQUabQu_ym0Zz7PgGX0-kHA/edit?usp=sharing"",""แผน!EB64"")"),0)</f>
        <v>0</v>
      </c>
      <c r="J294" s="401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15</v>
      </c>
      <c r="J297" s="421">
        <f t="shared" si="133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63800</v>
      </c>
      <c r="M298" s="154">
        <f t="shared" ca="1" si="134"/>
        <v>63800</v>
      </c>
      <c r="N298" s="154">
        <f t="shared" ca="1" si="134"/>
        <v>63800</v>
      </c>
      <c r="O298" s="154">
        <f t="shared" ref="O298:O306" ca="1" si="135">IF(L298&gt;0,N298*100/L298,0)</f>
        <v>100</v>
      </c>
      <c r="P298" s="154">
        <f t="shared" ref="P298:P306" ca="1" si="136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63800</v>
      </c>
      <c r="M300" s="45">
        <f t="shared" ca="1" si="137"/>
        <v>63800</v>
      </c>
      <c r="N300" s="45">
        <f t="shared" ca="1" si="137"/>
        <v>63800</v>
      </c>
      <c r="O300" s="45">
        <f t="shared" ca="1" si="135"/>
        <v>100</v>
      </c>
      <c r="P300" s="45">
        <f t="shared" ca="1" si="136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63800</v>
      </c>
      <c r="M301" s="38">
        <f t="shared" ca="1" si="138"/>
        <v>63800</v>
      </c>
      <c r="N301" s="38">
        <f t="shared" ca="1" si="138"/>
        <v>63800</v>
      </c>
      <c r="O301" s="38">
        <f t="shared" ca="1" si="135"/>
        <v>100</v>
      </c>
      <c r="P301" s="38">
        <f t="shared" ca="1" si="136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IFERROR(__xludf.DUMMYFUNCTION("IMPORTRANGE(""https://docs.google.com/spreadsheets/d/1MeEWN-I1oV_STSDYn1IFDPWt_1FKiwhDph83XaGc0o0/edit?usp=sharing"",""งบพรบ!DS64"")"),63800)</f>
        <v>63800</v>
      </c>
      <c r="M303" s="45">
        <f ca="1">IFERROR(__xludf.DUMMYFUNCTION("IMPORTRANGE(""https://docs.google.com/spreadsheets/d/1MeEWN-I1oV_STSDYn1IFDPWt_1FKiwhDph83XaGc0o0/edit?usp=sharing"",""งบพรบ!DX64"")"),63800)</f>
        <v>63800</v>
      </c>
      <c r="N303" s="45">
        <f ca="1">IFERROR(__xludf.DUMMYFUNCTION("IMPORTRANGE(""https://docs.google.com/spreadsheets/d/1MeEWN-I1oV_STSDYn1IFDPWt_1FKiwhDph83XaGc0o0/edit?usp=sharing"",""งบพรบ!DZ64"")"),63800)</f>
        <v>63800</v>
      </c>
      <c r="O303" s="45">
        <f t="shared" ca="1" si="135"/>
        <v>100</v>
      </c>
      <c r="P303" s="45">
        <f t="shared" ca="1" si="136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IFERROR(__xludf.DUMMYFUNCTION("IMPORTRANGE(""https://docs.google.com/spreadsheets/d/1MeEWN-I1oV_STSDYn1IFDPWt_1FKiwhDph83XaGc0o0/edit?usp=sharing"",""งบพรบ!DV64"")"),0)</f>
        <v>0</v>
      </c>
      <c r="M306" s="45">
        <f ca="1">IFERROR(__xludf.DUMMYFUNCTION("IMPORTRANGE(""https://docs.google.com/spreadsheets/d/1MeEWN-I1oV_STSDYn1IFDPWt_1FKiwhDph83XaGc0o0/edit?usp=sharing"",""งบพรบ!DY64"")"),0)</f>
        <v>0</v>
      </c>
      <c r="N306" s="45">
        <f ca="1">IFERROR(__xludf.DUMMYFUNCTION("IMPORTRANGE(""https://docs.google.com/spreadsheets/d/1MeEWN-I1oV_STSDYn1IFDPWt_1FKiwhDph83XaGc0o0/edit?usp=sharing"",""งบพรบ!EA64"")"),0)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IFERROR(__xludf.DUMMYFUNCTION("IMPORTRANGE(""https://docs.google.com/spreadsheets/d/1QqKyyYR6Q21VydFLVH3TRQUabQu_ym0Zz7PgGX0-kHA/edit?usp=sharing"",""แผน!ED64"")"),15)</f>
        <v>15</v>
      </c>
      <c r="J309" s="181">
        <v>15</v>
      </c>
      <c r="K309" s="38">
        <f t="shared" ref="K309:K312" ca="1" si="140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IFERROR(__xludf.DUMMYFUNCTION("IMPORTRANGE(""https://docs.google.com/spreadsheets/d/1QqKyyYR6Q21VydFLVH3TRQUabQu_ym0Zz7PgGX0-kHA/edit?usp=sharing"",""แผน!ED64"")"),15)</f>
        <v>15</v>
      </c>
      <c r="J310" s="181">
        <v>15</v>
      </c>
      <c r="K310" s="38">
        <f t="shared" ca="1" si="140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IFERROR(__xludf.DUMMYFUNCTION("IMPORTRANGE(""https://docs.google.com/spreadsheets/d/1QqKyyYR6Q21VydFLVH3TRQUabQu_ym0Zz7PgGX0-kHA/edit?usp=sharing"",""แผน!ED64"")"),15)</f>
        <v>15</v>
      </c>
      <c r="J311" s="181">
        <v>15</v>
      </c>
      <c r="K311" s="38">
        <f t="shared" ca="1" si="140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IFERROR(__xludf.DUMMYFUNCTION("IMPORTRANGE(""https://docs.google.com/spreadsheets/d/1QqKyyYR6Q21VydFLVH3TRQUabQu_ym0Zz7PgGX0-kHA/edit?usp=sharing"",""แผน!EE64"")"),3)</f>
        <v>3</v>
      </c>
      <c r="J312" s="181">
        <v>3</v>
      </c>
      <c r="K312" s="38">
        <f t="shared" ca="1" si="140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IFERROR(__xludf.DUMMYFUNCTION("IMPORTRANGE(""https://docs.google.com/spreadsheets/d/1MeEWN-I1oV_STSDYn1IFDPWt_1FKiwhDph83XaGc0o0/edit?usp=sharing"",""งบพรบ!EC64"")"),0)</f>
        <v>0</v>
      </c>
      <c r="M320" s="45">
        <f ca="1">IFERROR(__xludf.DUMMYFUNCTION("IMPORTRANGE(""https://docs.google.com/spreadsheets/d/1MeEWN-I1oV_STSDYn1IFDPWt_1FKiwhDph83XaGc0o0/edit?usp=sharing"",""งบพรบ!EH64"")"),0)</f>
        <v>0</v>
      </c>
      <c r="N320" s="45">
        <f ca="1">IFERROR(__xludf.DUMMYFUNCTION("IMPORTRANGE(""https://docs.google.com/spreadsheets/d/1MeEWN-I1oV_STSDYn1IFDPWt_1FKiwhDph83XaGc0o0/edit?usp=sharing"",""งบพรบ!EJ64"")"),0)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IFERROR(__xludf.DUMMYFUNCTION("IMPORTRANGE(""https://docs.google.com/spreadsheets/d/1MeEWN-I1oV_STSDYn1IFDPWt_1FKiwhDph83XaGc0o0/edit?usp=sharing"",""งบพรบ!EF64"")"),0)</f>
        <v>0</v>
      </c>
      <c r="M323" s="45">
        <f ca="1">IFERROR(__xludf.DUMMYFUNCTION("IMPORTRANGE(""https://docs.google.com/spreadsheets/d/1MeEWN-I1oV_STSDYn1IFDPWt_1FKiwhDph83XaGc0o0/edit?usp=sharing"",""งบพรบ!EI64"")"),0)</f>
        <v>0</v>
      </c>
      <c r="N323" s="45">
        <f ca="1">IFERROR(__xludf.DUMMYFUNCTION("IMPORTRANGE(""https://docs.google.com/spreadsheets/d/1MeEWN-I1oV_STSDYn1IFDPWt_1FKiwhDph83XaGc0o0/edit?usp=sharing"",""งบพรบ!EK64"")"),0)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IFERROR(__xludf.DUMMYFUNCTION("IMPORTRANGE(""https://docs.google.com/spreadsheets/d/1QqKyyYR6Q21VydFLVH3TRQUabQu_ym0Zz7PgGX0-kHA/edit?usp=sharing"",""แผน!EG64"")"),800)</f>
        <v>800</v>
      </c>
      <c r="J327" s="421">
        <f ca="1">J338+J341+J342+J343</f>
        <v>1267</v>
      </c>
      <c r="K327" s="422">
        <f ca="1">IF(I327&gt;0,J327*100/I327,0)</f>
        <v>158.375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588600</v>
      </c>
      <c r="M328" s="154">
        <f t="shared" ca="1" si="148"/>
        <v>591100</v>
      </c>
      <c r="N328" s="154">
        <f t="shared" ca="1" si="148"/>
        <v>424247.8</v>
      </c>
      <c r="O328" s="154">
        <f t="shared" ref="O328:O336" ca="1" si="149">IF(L328&gt;0,N328*100/L328,0)</f>
        <v>72.077437988447159</v>
      </c>
      <c r="P328" s="154">
        <f t="shared" ref="P328:P336" ca="1" si="150">IF(M328&gt;0,N328*100/M328,0)</f>
        <v>71.772593469802061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588600</v>
      </c>
      <c r="M330" s="45">
        <f t="shared" ca="1" si="151"/>
        <v>591100</v>
      </c>
      <c r="N330" s="45">
        <f t="shared" ca="1" si="151"/>
        <v>424247.8</v>
      </c>
      <c r="O330" s="45">
        <f t="shared" ca="1" si="149"/>
        <v>72.077437988447159</v>
      </c>
      <c r="P330" s="45">
        <f t="shared" ca="1" si="150"/>
        <v>71.772593469802061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588600</v>
      </c>
      <c r="M331" s="38">
        <f t="shared" ca="1" si="152"/>
        <v>591100</v>
      </c>
      <c r="N331" s="38">
        <f t="shared" ca="1" si="152"/>
        <v>424247.8</v>
      </c>
      <c r="O331" s="38">
        <f t="shared" ca="1" si="149"/>
        <v>72.077437988447159</v>
      </c>
      <c r="P331" s="38">
        <f t="shared" ca="1" si="150"/>
        <v>71.772593469802061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IFERROR(__xludf.DUMMYFUNCTION("IMPORTRANGE(""https://docs.google.com/spreadsheets/d/1MeEWN-I1oV_STSDYn1IFDPWt_1FKiwhDph83XaGc0o0/edit?usp=sharing"",""งบพรบ!EM64"")"),588600)</f>
        <v>588600</v>
      </c>
      <c r="M333" s="45">
        <f ca="1">IFERROR(__xludf.DUMMYFUNCTION("IMPORTRANGE(""https://docs.google.com/spreadsheets/d/1MeEWN-I1oV_STSDYn1IFDPWt_1FKiwhDph83XaGc0o0/edit?usp=sharing"",""งบพรบ!ER64"")"),591100)</f>
        <v>591100</v>
      </c>
      <c r="N333" s="45">
        <f ca="1">IFERROR(__xludf.DUMMYFUNCTION("IMPORTRANGE(""https://docs.google.com/spreadsheets/d/1MeEWN-I1oV_STSDYn1IFDPWt_1FKiwhDph83XaGc0o0/edit?usp=sharing"",""งบพรบ!ET64"")"),424247.8)</f>
        <v>424247.8</v>
      </c>
      <c r="O333" s="45">
        <f t="shared" ca="1" si="149"/>
        <v>72.077437988447159</v>
      </c>
      <c r="P333" s="45">
        <f t="shared" ca="1" si="150"/>
        <v>71.772593469802061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IFERROR(__xludf.DUMMYFUNCTION("IMPORTRANGE(""https://docs.google.com/spreadsheets/d/1MeEWN-I1oV_STSDYn1IFDPWt_1FKiwhDph83XaGc0o0/edit?usp=sharing"",""งบพรบ!EP64"")"),0)</f>
        <v>0</v>
      </c>
      <c r="M336" s="45">
        <f ca="1">IFERROR(__xludf.DUMMYFUNCTION("IMPORTRANGE(""https://docs.google.com/spreadsheets/d/1MeEWN-I1oV_STSDYn1IFDPWt_1FKiwhDph83XaGc0o0/edit?usp=sharing"",""งบพรบ!ES64"")"),0)</f>
        <v>0</v>
      </c>
      <c r="N336" s="45">
        <f ca="1">IFERROR(__xludf.DUMMYFUNCTION("IMPORTRANGE(""https://docs.google.com/spreadsheets/d/1MeEWN-I1oV_STSDYn1IFDPWt_1FKiwhDph83XaGc0o0/edit?usp=sharing"",""งบพรบ!EU64"")"),0)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IFERROR(__xludf.DUMMYFUNCTION("IMPORTRANGE(""https://docs.google.com/spreadsheets/d/1QqKyyYR6Q21VydFLVH3TRQUabQu_ym0Zz7PgGX0-kHA/edit?usp=sharing"",""แผน!EG64"")"),800)</f>
        <v>800</v>
      </c>
      <c r="J338" s="37">
        <f ca="1">IFERROR(__xludf.DUMMYFUNCTION("IMPORTRANGE(""https://docs.google.com/spreadsheets/d/1kVcqe37tkHyjCSG3S0O1AXqVkqjo8mSIZil3BcpIysc/edit?usp=sharing"",""ศูนย์!D64"")"),686)</f>
        <v>686</v>
      </c>
      <c r="K338" s="38">
        <f ca="1">IF(I338&gt;0,J338*100/I338,0)</f>
        <v>85.75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IFERROR(__xludf.DUMMYFUNCTION("IMPORTRANGE(""https://docs.google.com/spreadsheets/d/1QqKyyYR6Q21VydFLVH3TRQUabQu_ym0Zz7PgGX0-kHA/edit?usp=sharing"",""แผน!EH64"")"),3)</f>
        <v>3</v>
      </c>
      <c r="J340" s="37">
        <f ca="1">IFERROR(__xludf.DUMMYFUNCTION("IMPORTRANGE(""https://docs.google.com/spreadsheets/d/1kVcqe37tkHyjCSG3S0O1AXqVkqjo8mSIZil3BcpIysc/edit?usp=sharing"",""ศูนย์!E64"")"),7)</f>
        <v>7</v>
      </c>
      <c r="K340" s="38">
        <f ca="1">IF(I340&gt;0,J340*100/I340,0)</f>
        <v>233.33333333333334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IFERROR(__xludf.DUMMYFUNCTION("IMPORTRANGE(""https://docs.google.com/spreadsheets/d/1kVcqe37tkHyjCSG3S0O1AXqVkqjo8mSIZil3BcpIysc/edit?usp=sharing"",""ศูนย์!F64"")"),581)</f>
        <v>581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IFERROR(__xludf.DUMMYFUNCTION("IMPORTRANGE(""https://docs.google.com/spreadsheets/d/1kVcqe37tkHyjCSG3S0O1AXqVkqjo8mSIZil3BcpIysc/edit?usp=sharing"",""ศูนย์!G64"")"),0)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IFERROR(__xludf.DUMMYFUNCTION("IMPORTRANGE(""https://docs.google.com/spreadsheets/d/1kVcqe37tkHyjCSG3S0O1AXqVkqjo8mSIZil3BcpIysc/edit?usp=sharing"",""ศูนย์!H64"")"),0)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292110</v>
      </c>
      <c r="M345" s="154">
        <f t="shared" ca="1" si="154"/>
        <v>354110</v>
      </c>
      <c r="N345" s="154">
        <f t="shared" ca="1" si="154"/>
        <v>244254.83</v>
      </c>
      <c r="O345" s="154">
        <f t="shared" ref="O345:O353" ca="1" si="155">IF(L345&gt;0,N345*100/L345,0)</f>
        <v>83.617414672554858</v>
      </c>
      <c r="P345" s="154">
        <f t="shared" ref="P345:P353" ca="1" si="156">IF(M345&gt;0,N345*100/M345,0)</f>
        <v>68.977105984016262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292110</v>
      </c>
      <c r="M347" s="45">
        <f t="shared" ca="1" si="157"/>
        <v>354110</v>
      </c>
      <c r="N347" s="45">
        <f t="shared" ca="1" si="157"/>
        <v>244254.83</v>
      </c>
      <c r="O347" s="45">
        <f t="shared" ca="1" si="155"/>
        <v>83.617414672554858</v>
      </c>
      <c r="P347" s="45">
        <f t="shared" ca="1" si="156"/>
        <v>68.977105984016262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216110</v>
      </c>
      <c r="M348" s="38">
        <f t="shared" ca="1" si="158"/>
        <v>278110</v>
      </c>
      <c r="N348" s="38">
        <f t="shared" ca="1" si="158"/>
        <v>168254.83</v>
      </c>
      <c r="O348" s="38">
        <f t="shared" ca="1" si="155"/>
        <v>77.856105686918696</v>
      </c>
      <c r="P348" s="38">
        <f t="shared" ca="1" si="156"/>
        <v>60.499381539678545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IFERROR(__xludf.DUMMYFUNCTION("IMPORTRANGE(""https://docs.google.com/spreadsheets/d/1MeEWN-I1oV_STSDYn1IFDPWt_1FKiwhDph83XaGc0o0/edit?usp=sharing"",""งบพรบ!EW64"")"),216110)</f>
        <v>216110</v>
      </c>
      <c r="M350" s="45">
        <f ca="1">IFERROR(__xludf.DUMMYFUNCTION("IMPORTRANGE(""https://docs.google.com/spreadsheets/d/1MeEWN-I1oV_STSDYn1IFDPWt_1FKiwhDph83XaGc0o0/edit?usp=sharing"",""งบพรบ!FB64"")"),278110)</f>
        <v>278110</v>
      </c>
      <c r="N350" s="45">
        <f ca="1">IFERROR(__xludf.DUMMYFUNCTION("IMPORTRANGE(""https://docs.google.com/spreadsheets/d/1MeEWN-I1oV_STSDYn1IFDPWt_1FKiwhDph83XaGc0o0/edit?usp=sharing"",""งบพรบ!FD64"")"),168254.83)</f>
        <v>168254.83</v>
      </c>
      <c r="O350" s="45">
        <f t="shared" ca="1" si="155"/>
        <v>77.856105686918696</v>
      </c>
      <c r="P350" s="45">
        <f t="shared" ca="1" si="156"/>
        <v>60.499381539678545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76000</v>
      </c>
      <c r="M351" s="38">
        <f t="shared" ca="1" si="159"/>
        <v>76000</v>
      </c>
      <c r="N351" s="38">
        <f t="shared" ca="1" si="159"/>
        <v>76000</v>
      </c>
      <c r="O351" s="38">
        <f t="shared" ca="1" si="155"/>
        <v>100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IFERROR(__xludf.DUMMYFUNCTION("IMPORTRANGE(""https://docs.google.com/spreadsheets/d/1MeEWN-I1oV_STSDYn1IFDPWt_1FKiwhDph83XaGc0o0/edit?usp=sharing"",""งบพรบ!EZ64"")"),76000)</f>
        <v>76000</v>
      </c>
      <c r="M353" s="45">
        <f ca="1">IFERROR(__xludf.DUMMYFUNCTION("IMPORTRANGE(""https://docs.google.com/spreadsheets/d/1MeEWN-I1oV_STSDYn1IFDPWt_1FKiwhDph83XaGc0o0/edit?usp=sharing"",""งบพรบ!FC64"")"),76000)</f>
        <v>76000</v>
      </c>
      <c r="N353" s="45">
        <f ca="1">IFERROR(__xludf.DUMMYFUNCTION("IMPORTRANGE(""https://docs.google.com/spreadsheets/d/1MeEWN-I1oV_STSDYn1IFDPWt_1FKiwhDph83XaGc0o0/edit?usp=sharing"",""งบพรบ!FE64"")"),76000)</f>
        <v>76000</v>
      </c>
      <c r="O353" s="45">
        <f t="shared" ca="1" si="155"/>
        <v>100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 hidden="1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 hidden="1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IFERROR(__xludf.DUMMYFUNCTION("IMPORTRANGE(""https://docs.google.com/spreadsheets/d/1QqKyyYR6Q21VydFLVH3TRQUabQu_ym0Zz7PgGX0-kHA/edit?usp=sharing"",""แผน!EP64"")"),0)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 hidden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 hidden="1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 hidden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IFERROR(__xludf.DUMMYFUNCTION("IMPORTRANGE(""https://docs.google.com/spreadsheets/d/1XWAQStnk-4SwqDmLtmXYiTMKHgktTP8We1SCoS47DrQ/edit?usp=sharing"",""จัดที่ดิน!W64"")"),0)</f>
        <v>0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 hidden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IFERROR(__xludf.DUMMYFUNCTION("IMPORTRANGE(""https://docs.google.com/spreadsheets/d/1QqKyyYR6Q21VydFLVH3TRQUabQu_ym0Zz7PgGX0-kHA/edit?usp=sharing"",""แผน!EO64"")"),0)</f>
        <v>0</v>
      </c>
      <c r="J359" s="37">
        <f ca="1">IFERROR(__xludf.DUMMYFUNCTION("IMPORTRANGE(""https://docs.google.com/spreadsheets/d/1XWAQStnk-4SwqDmLtmXYiTMKHgktTP8We1SCoS47DrQ/edit?usp=sharing"",""จัดที่ดิน!X64"")"),0)</f>
        <v>0</v>
      </c>
      <c r="K359" s="38">
        <f t="shared" ca="1" si="160"/>
        <v>0</v>
      </c>
      <c r="L359" s="162"/>
      <c r="M359" s="162"/>
      <c r="N359" s="162"/>
      <c r="O359" s="162"/>
      <c r="P359" s="162"/>
    </row>
    <row r="360" spans="1:26" ht="19" hidden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IFERROR(__xludf.DUMMYFUNCTION("IMPORTRANGE(""https://docs.google.com/spreadsheets/d/1QqKyyYR6Q21VydFLVH3TRQUabQu_ym0Zz7PgGX0-kHA/edit?usp=sharing"",""แผน!EP64"")"),0)</f>
        <v>0</v>
      </c>
      <c r="J360" s="37">
        <f ca="1">IFERROR(__xludf.DUMMYFUNCTION("IMPORTRANGE(""https://docs.google.com/spreadsheets/d/1XWAQStnk-4SwqDmLtmXYiTMKHgktTP8We1SCoS47DrQ/edit?usp=sharing"",""จัดที่ดิน!Y64"")"),0)</f>
        <v>0</v>
      </c>
      <c r="K360" s="38">
        <f t="shared" ca="1" si="160"/>
        <v>0</v>
      </c>
      <c r="L360" s="162"/>
      <c r="M360" s="162"/>
      <c r="N360" s="162"/>
      <c r="O360" s="162"/>
      <c r="P360" s="162"/>
    </row>
    <row r="361" spans="1:26" ht="19" hidden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IFERROR(__xludf.DUMMYFUNCTION("IMPORTRANGE(""https://docs.google.com/spreadsheets/d/1XWAQStnk-4SwqDmLtmXYiTMKHgktTP8We1SCoS47DrQ/edit?usp=sharing"",""จัดที่ดิน!Z64"")"),0)</f>
        <v>0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 hidden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IFERROR(__xludf.DUMMYFUNCTION("IMPORTRANGE(""https://docs.google.com/spreadsheets/d/1QqKyyYR6Q21VydFLVH3TRQUabQu_ym0Zz7PgGX0-kHA/edit?usp=sharing"",""แผน!EP64"")"),0)</f>
        <v>0</v>
      </c>
      <c r="J362" s="37">
        <f ca="1">IFERROR(__xludf.DUMMYFUNCTION("IMPORTRANGE(""https://docs.google.com/spreadsheets/d/1XWAQStnk-4SwqDmLtmXYiTMKHgktTP8We1SCoS47DrQ/edit?usp=sharing"",""จัดที่ดิน!AA64"")"),0)</f>
        <v>0</v>
      </c>
      <c r="K362" s="38">
        <f t="shared" ca="1" si="160"/>
        <v>0</v>
      </c>
      <c r="L362" s="162"/>
      <c r="M362" s="162"/>
      <c r="N362" s="162"/>
      <c r="O362" s="162"/>
      <c r="P362" s="162"/>
    </row>
    <row r="363" spans="1:26" ht="19" hidden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IFERROR(__xludf.DUMMYFUNCTION("IMPORTRANGE(""https://docs.google.com/spreadsheets/d/1XWAQStnk-4SwqDmLtmXYiTMKHgktTP8We1SCoS47DrQ/edit?usp=sharing"",""จัดที่ดิน!AB64"")"),0)</f>
        <v>0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 hidden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0</v>
      </c>
      <c r="J364" s="452">
        <f t="shared" ca="1" si="161"/>
        <v>0</v>
      </c>
      <c r="K364" s="453">
        <f t="shared" ca="1" si="160"/>
        <v>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 hidden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IFERROR(__xludf.DUMMYFUNCTION("IMPORTRANGE(""https://docs.google.com/spreadsheets/d/1QqKyyYR6Q21VydFLVH3TRQUabQu_ym0Zz7PgGX0-kHA/edit?usp=sharing"",""แผน!EJ64"")"),0)</f>
        <v>0</v>
      </c>
      <c r="J365" s="462">
        <f ca="1">J372</f>
        <v>0</v>
      </c>
      <c r="K365" s="463">
        <f t="shared" ca="1" si="160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 hidden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 hidden="1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 hidden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IFERROR(__xludf.DUMMYFUNCTION("IMPORTRANGE(""https://docs.google.com/spreadsheets/d/1XWAQStnk-4SwqDmLtmXYiTMKHgktTP8We1SCoS47DrQ/edit?usp=sharing"",""จัดที่ดิน!E64"")"),0)</f>
        <v>0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 hidden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IFERROR(__xludf.DUMMYFUNCTION("IMPORTRANGE(""https://docs.google.com/spreadsheets/d/1QqKyyYR6Q21VydFLVH3TRQUabQu_ym0Zz7PgGX0-kHA/edit?usp=sharing"",""แผน!EI64"")"),0)</f>
        <v>0</v>
      </c>
      <c r="J369" s="37">
        <f ca="1">IFERROR(__xludf.DUMMYFUNCTION("IMPORTRANGE(""https://docs.google.com/spreadsheets/d/1XWAQStnk-4SwqDmLtmXYiTMKHgktTP8We1SCoS47DrQ/edit?usp=sharing"",""จัดที่ดิน!F64"")"),0)</f>
        <v>0</v>
      </c>
      <c r="K369" s="38">
        <f t="shared" ca="1" si="162"/>
        <v>0</v>
      </c>
      <c r="L369" s="162"/>
      <c r="M369" s="162"/>
      <c r="N369" s="162"/>
      <c r="O369" s="162"/>
      <c r="P369" s="162"/>
    </row>
    <row r="370" spans="1:26" ht="19" hidden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IFERROR(__xludf.DUMMYFUNCTION("IMPORTRANGE(""https://docs.google.com/spreadsheets/d/1QqKyyYR6Q21VydFLVH3TRQUabQu_ym0Zz7PgGX0-kHA/edit?usp=sharing"",""แผน!EJ64"")"),0)</f>
        <v>0</v>
      </c>
      <c r="J370" s="37">
        <f ca="1">IFERROR(__xludf.DUMMYFUNCTION("IMPORTRANGE(""https://docs.google.com/spreadsheets/d/1XWAQStnk-4SwqDmLtmXYiTMKHgktTP8We1SCoS47DrQ/edit?usp=sharing"",""จัดที่ดิน!G64"")"),0)</f>
        <v>0</v>
      </c>
      <c r="K370" s="38">
        <f t="shared" ca="1" si="162"/>
        <v>0</v>
      </c>
      <c r="L370" s="162"/>
      <c r="M370" s="162"/>
      <c r="N370" s="162"/>
      <c r="O370" s="162"/>
      <c r="P370" s="162"/>
    </row>
    <row r="371" spans="1:26" ht="19" hidden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IFERROR(__xludf.DUMMYFUNCTION("IMPORTRANGE(""https://docs.google.com/spreadsheets/d/1XWAQStnk-4SwqDmLtmXYiTMKHgktTP8We1SCoS47DrQ/edit?usp=sharing"",""จัดที่ดิน!H64"")"),0)</f>
        <v>0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 hidden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IFERROR(__xludf.DUMMYFUNCTION("IMPORTRANGE(""https://docs.google.com/spreadsheets/d/1QqKyyYR6Q21VydFLVH3TRQUabQu_ym0Zz7PgGX0-kHA/edit?usp=sharing"",""แผน!EJ64"")"),0)</f>
        <v>0</v>
      </c>
      <c r="J372" s="37">
        <f ca="1">IFERROR(__xludf.DUMMYFUNCTION("IMPORTRANGE(""https://docs.google.com/spreadsheets/d/1XWAQStnk-4SwqDmLtmXYiTMKHgktTP8We1SCoS47DrQ/edit?usp=sharing"",""จัดที่ดิน!I64"")"),0)</f>
        <v>0</v>
      </c>
      <c r="K372" s="38">
        <f t="shared" ca="1" si="162"/>
        <v>0</v>
      </c>
      <c r="L372" s="162"/>
      <c r="M372" s="162"/>
      <c r="N372" s="162"/>
      <c r="O372" s="162"/>
      <c r="P372" s="162"/>
    </row>
    <row r="373" spans="1:26" ht="19" hidden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IFERROR(__xludf.DUMMYFUNCTION("IMPORTRANGE(""https://docs.google.com/spreadsheets/d/1XWAQStnk-4SwqDmLtmXYiTMKHgktTP8We1SCoS47DrQ/edit?usp=sharing"",""จัดที่ดิน!J64"")"),0)</f>
        <v>0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 hidden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IFERROR(__xludf.DUMMYFUNCTION("IMPORTRANGE(""https://docs.google.com/spreadsheets/d/1QqKyyYR6Q21VydFLVH3TRQUabQu_ym0Zz7PgGX0-kHA/edit?usp=sharing"",""แผน!EU64"")"),0)</f>
        <v>0</v>
      </c>
      <c r="J374" s="462">
        <f ca="1">J381</f>
        <v>0</v>
      </c>
      <c r="K374" s="463">
        <f t="shared" ca="1" si="162"/>
        <v>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 hidden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 hidden="1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 hidden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IFERROR(__xludf.DUMMYFUNCTION("IMPORTRANGE(""https://docs.google.com/spreadsheets/d/1XWAQStnk-4SwqDmLtmXYiTMKHgktTP8We1SCoS47DrQ/edit?usp=sharing"",""จัดที่ดิน!AH64"")"),0)</f>
        <v>0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 hidden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IFERROR(__xludf.DUMMYFUNCTION("IMPORTRANGE(""https://docs.google.com/spreadsheets/d/1QqKyyYR6Q21VydFLVH3TRQUabQu_ym0Zz7PgGX0-kHA/edit?usp=sharing"",""แผน!ET64"")"),0)</f>
        <v>0</v>
      </c>
      <c r="J378" s="37">
        <f ca="1">IFERROR(__xludf.DUMMYFUNCTION("IMPORTRANGE(""https://docs.google.com/spreadsheets/d/1XWAQStnk-4SwqDmLtmXYiTMKHgktTP8We1SCoS47DrQ/edit?usp=sharing"",""จัดที่ดิน!AI64"")"),0)</f>
        <v>0</v>
      </c>
      <c r="K378" s="38">
        <f t="shared" ca="1" si="163"/>
        <v>0</v>
      </c>
      <c r="L378" s="162"/>
      <c r="M378" s="162"/>
      <c r="N378" s="162"/>
      <c r="O378" s="162"/>
      <c r="P378" s="162"/>
    </row>
    <row r="379" spans="1:26" ht="19" hidden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IFERROR(__xludf.DUMMYFUNCTION("IMPORTRANGE(""https://docs.google.com/spreadsheets/d/1QqKyyYR6Q21VydFLVH3TRQUabQu_ym0Zz7PgGX0-kHA/edit?usp=sharing"",""แผน!EU64"")"),0)</f>
        <v>0</v>
      </c>
      <c r="J379" s="37">
        <f ca="1">IFERROR(__xludf.DUMMYFUNCTION("IMPORTRANGE(""https://docs.google.com/spreadsheets/d/1XWAQStnk-4SwqDmLtmXYiTMKHgktTP8We1SCoS47DrQ/edit?usp=sharing"",""จัดที่ดิน!AJ64"")"),0)</f>
        <v>0</v>
      </c>
      <c r="K379" s="38">
        <f t="shared" ca="1" si="163"/>
        <v>0</v>
      </c>
      <c r="L379" s="162"/>
      <c r="M379" s="162"/>
      <c r="N379" s="162"/>
      <c r="O379" s="162"/>
      <c r="P379" s="162"/>
    </row>
    <row r="380" spans="1:26" ht="19" hidden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IFERROR(__xludf.DUMMYFUNCTION("IMPORTRANGE(""https://docs.google.com/spreadsheets/d/1XWAQStnk-4SwqDmLtmXYiTMKHgktTP8We1SCoS47DrQ/edit?usp=sharing"",""จัดที่ดิน!AK64"")"),0)</f>
        <v>0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 hidden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IFERROR(__xludf.DUMMYFUNCTION("IMPORTRANGE(""https://docs.google.com/spreadsheets/d/1QqKyyYR6Q21VydFLVH3TRQUabQu_ym0Zz7PgGX0-kHA/edit?usp=sharing"",""แผน!EU64"")"),0)</f>
        <v>0</v>
      </c>
      <c r="J381" s="37">
        <f ca="1">IFERROR(__xludf.DUMMYFUNCTION("IMPORTRANGE(""https://docs.google.com/spreadsheets/d/1XWAQStnk-4SwqDmLtmXYiTMKHgktTP8We1SCoS47DrQ/edit?usp=sharing"",""จัดที่ดิน!AL64"")"),0)</f>
        <v>0</v>
      </c>
      <c r="K381" s="38">
        <f t="shared" ca="1" si="163"/>
        <v>0</v>
      </c>
      <c r="L381" s="162"/>
      <c r="M381" s="162"/>
      <c r="N381" s="162"/>
      <c r="O381" s="162"/>
      <c r="P381" s="162"/>
    </row>
    <row r="382" spans="1:26" ht="19" hidden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IFERROR(__xludf.DUMMYFUNCTION("IMPORTRANGE(""https://docs.google.com/spreadsheets/d/1XWAQStnk-4SwqDmLtmXYiTMKHgktTP8We1SCoS47DrQ/edit?usp=sharing"",""จัดที่ดิน!AM64"")"),0)</f>
        <v>0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IFERROR(__xludf.DUMMYFUNCTION("IMPORTRANGE(""https://docs.google.com/spreadsheets/d/1QqKyyYR6Q21VydFLVH3TRQUabQu_ym0Zz7PgGX0-kHA/edit?usp=sharing"",""แผน!EW64"")"),25)</f>
        <v>25</v>
      </c>
      <c r="J385" s="365">
        <f ca="1">IFERROR(__xludf.DUMMYFUNCTION("IMPORTRANGE(""https://docs.google.com/spreadsheets/d/1XWAQStnk-4SwqDmLtmXYiTMKHgktTP8We1SCoS47DrQ/edit?usp=sharing"",""จัดที่ดิน!AP64"")"),11)</f>
        <v>11</v>
      </c>
      <c r="K385" s="472">
        <f ca="1">IF(I385&gt;0,J385*100/I385,0)</f>
        <v>44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4">I400</f>
        <v>0</v>
      </c>
      <c r="J388" s="492">
        <f t="shared" si="164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IFERROR(__xludf.DUMMYFUNCTION("IMPORTRANGE(""https://docs.google.com/spreadsheets/d/1MeEWN-I1oV_STSDYn1IFDPWt_1FKiwhDph83XaGc0o0/edit?usp=sharing"",""งบพรบ!FG64"")"),0)</f>
        <v>0</v>
      </c>
      <c r="M394" s="45">
        <f ca="1">IFERROR(__xludf.DUMMYFUNCTION("IMPORTRANGE(""https://docs.google.com/spreadsheets/d/1MeEWN-I1oV_STSDYn1IFDPWt_1FKiwhDph83XaGc0o0/edit?usp=sharing"",""งบพรบ!FL64"")"),0)</f>
        <v>0</v>
      </c>
      <c r="N394" s="45">
        <f ca="1">IFERROR(__xludf.DUMMYFUNCTION("IMPORTRANGE(""https://docs.google.com/spreadsheets/d/1MeEWN-I1oV_STSDYn1IFDPWt_1FKiwhDph83XaGc0o0/edit?usp=sharing"",""งบพรบ!FN64"")"),0)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IFERROR(__xludf.DUMMYFUNCTION("IMPORTRANGE(""https://docs.google.com/spreadsheets/d/1MeEWN-I1oV_STSDYn1IFDPWt_1FKiwhDph83XaGc0o0/edit?usp=sharing"",""งบพรบ!FJ64"")"),0)</f>
        <v>0</v>
      </c>
      <c r="M397" s="45">
        <f ca="1">IFERROR(__xludf.DUMMYFUNCTION("IMPORTRANGE(""https://docs.google.com/spreadsheets/d/1MeEWN-I1oV_STSDYn1IFDPWt_1FKiwhDph83XaGc0o0/edit?usp=sharing"",""งบพรบ!FM64"")"),0)</f>
        <v>0</v>
      </c>
      <c r="N397" s="45">
        <f ca="1">IFERROR(__xludf.DUMMYFUNCTION("IMPORTRANGE(""https://docs.google.com/spreadsheets/d/1MeEWN-I1oV_STSDYn1IFDPWt_1FKiwhDph83XaGc0o0/edit?usp=sharing"",""งบพรบ!FO64"")"),0)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2">I412</f>
        <v>0</v>
      </c>
      <c r="J401" s="492">
        <f t="shared" si="172"/>
        <v>0</v>
      </c>
      <c r="K401" s="493">
        <f t="shared" si="171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IFERROR(__xludf.DUMMYFUNCTION("IMPORTRANGE(""https://docs.google.com/spreadsheets/d/1MeEWN-I1oV_STSDYn1IFDPWt_1FKiwhDph83XaGc0o0/edit?usp=sharing"",""งบพรบ!FQ64"")"),0)</f>
        <v>0</v>
      </c>
      <c r="M407" s="45">
        <f ca="1">IFERROR(__xludf.DUMMYFUNCTION("IMPORTRANGE(""https://docs.google.com/spreadsheets/d/1MeEWN-I1oV_STSDYn1IFDPWt_1FKiwhDph83XaGc0o0/edit?usp=sharing"",""งบพรบ!FV64"")"),0)</f>
        <v>0</v>
      </c>
      <c r="N407" s="45">
        <f ca="1">IFERROR(__xludf.DUMMYFUNCTION("IMPORTRANGE(""https://docs.google.com/spreadsheets/d/1MeEWN-I1oV_STSDYn1IFDPWt_1FKiwhDph83XaGc0o0/edit?usp=sharing"",""งบพรบ!FX64"")"),0)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IFERROR(__xludf.DUMMYFUNCTION("IMPORTRANGE(""https://docs.google.com/spreadsheets/d/1MeEWN-I1oV_STSDYn1IFDPWt_1FKiwhDph83XaGc0o0/edit?usp=sharing"",""งบพรบ!FT64"")"),0)</f>
        <v>0</v>
      </c>
      <c r="M410" s="45">
        <f ca="1">IFERROR(__xludf.DUMMYFUNCTION("IMPORTRANGE(""https://docs.google.com/spreadsheets/d/1MeEWN-I1oV_STSDYn1IFDPWt_1FKiwhDph83XaGc0o0/edit?usp=sharing"",""งบพรบ!FW64"")"),0)</f>
        <v>0</v>
      </c>
      <c r="N410" s="45">
        <f ca="1">IFERROR(__xludf.DUMMYFUNCTION("IMPORTRANGE(""https://docs.google.com/spreadsheets/d/1MeEWN-I1oV_STSDYn1IFDPWt_1FKiwhDph83XaGc0o0/edit?usp=sharing"",""งบพรบ!FY64"")"),0)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79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0">L419+L444+L467+L502+L523+L544+L629+L655+L685+L737+L754+L770+L786+L805</f>
        <v>486800</v>
      </c>
      <c r="M414" s="518">
        <f t="shared" ca="1" si="180"/>
        <v>486800</v>
      </c>
      <c r="N414" s="518">
        <f t="shared" si="180"/>
        <v>363148.43</v>
      </c>
      <c r="O414" s="518">
        <f ca="1">IF(L414&gt;0,N414*100/L414,0)</f>
        <v>74.599102300739517</v>
      </c>
      <c r="P414" s="518">
        <f ca="1">IF(M414&gt;0,N414*100/M414,0)</f>
        <v>74.599102300739517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1">I433</f>
        <v>60</v>
      </c>
      <c r="J417" s="533">
        <f t="shared" ca="1" si="181"/>
        <v>60</v>
      </c>
      <c r="K417" s="534">
        <f t="shared" ref="K417:K418" ca="1" si="182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1"/>
        <v>2</v>
      </c>
      <c r="J418" s="533">
        <f t="shared" si="181"/>
        <v>2</v>
      </c>
      <c r="K418" s="534">
        <f t="shared" ca="1" si="182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205300</v>
      </c>
      <c r="M419" s="154">
        <f t="shared" ca="1" si="183"/>
        <v>205300</v>
      </c>
      <c r="N419" s="154">
        <f t="shared" si="183"/>
        <v>204065</v>
      </c>
      <c r="O419" s="154">
        <f t="shared" ref="O419:O424" ca="1" si="184">IF(L419&gt;0,N419*100/L419,0)</f>
        <v>99.39844130540672</v>
      </c>
      <c r="P419" s="154">
        <f t="shared" ref="P419:P424" ca="1" si="185">IF(M419&gt;0,N419*100/M419,0)</f>
        <v>99.39844130540672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205300</v>
      </c>
      <c r="M421" s="45">
        <f t="shared" ca="1" si="186"/>
        <v>205300</v>
      </c>
      <c r="N421" s="45">
        <f t="shared" si="186"/>
        <v>204065</v>
      </c>
      <c r="O421" s="45">
        <f t="shared" ca="1" si="184"/>
        <v>99.39844130540672</v>
      </c>
      <c r="P421" s="45">
        <f t="shared" ca="1" si="185"/>
        <v>99.39844130540672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205300</v>
      </c>
      <c r="M422" s="38">
        <f t="shared" ca="1" si="187"/>
        <v>205300</v>
      </c>
      <c r="N422" s="38">
        <f t="shared" si="187"/>
        <v>204065</v>
      </c>
      <c r="O422" s="38">
        <f t="shared" ca="1" si="184"/>
        <v>99.39844130540672</v>
      </c>
      <c r="P422" s="38">
        <f t="shared" ca="1" si="185"/>
        <v>99.39844130540672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IFERROR(__xludf.DUMMYFUNCTION("IMPORTRANGE(""https://docs.google.com/spreadsheets/d/1QqKyyYR6Q21VydFLVH3TRQUabQu_ym0Zz7PgGX0-kHA/edit?usp=sharing"",""แผน!EY64"")"),205300)</f>
        <v>205300</v>
      </c>
      <c r="M424" s="45">
        <f ca="1">L424</f>
        <v>205300</v>
      </c>
      <c r="N424" s="45">
        <f>N425+N426+N427+N428</f>
        <v>204065</v>
      </c>
      <c r="O424" s="45">
        <f t="shared" ca="1" si="184"/>
        <v>99.39844130540672</v>
      </c>
      <c r="P424" s="45">
        <f t="shared" ca="1" si="185"/>
        <v>99.39844130540672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180800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23265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IFERROR(__xludf.DUMMYFUNCTION("IMPORTRANGE(""https://docs.google.com/spreadsheets/d/1QqKyyYR6Q21VydFLVH3TRQUabQu_ym0Zz7PgGX0-kHA/edit?usp=sharing"",""แผน!FB64"")"),0)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60</v>
      </c>
      <c r="J433" s="190">
        <f ca="1">IF(AND(J435=I435,J437=I437,J439=I439),I437+I439,IF(AND(J435=I437,J437=I437),I437,IF(AND(J435=I439,J439=I439),I439,0)))</f>
        <v>60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2</v>
      </c>
      <c r="J434" s="190">
        <f t="shared" si="192"/>
        <v>2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IFERROR(__xludf.DUMMYFUNCTION("IMPORTRANGE(""https://docs.google.com/spreadsheets/d/1QqKyyYR6Q21VydFLVH3TRQUabQu_ym0Zz7PgGX0-kHA/edit?usp=sharing"",""แผน!FC64"")"),60)</f>
        <v>60</v>
      </c>
      <c r="J435" s="546">
        <v>60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IFERROR(__xludf.DUMMYFUNCTION("IMPORTRANGE(""https://docs.google.com/spreadsheets/d/1QqKyyYR6Q21VydFLVH3TRQUabQu_ym0Zz7PgGX0-kHA/edit?usp=sharing"",""แผน!FD64"")"),40)</f>
        <v>40</v>
      </c>
      <c r="J437" s="546">
        <v>40</v>
      </c>
      <c r="K437" s="38">
        <f t="shared" ref="K437:K443" ca="1" si="193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IFERROR(__xludf.DUMMYFUNCTION("IMPORTRANGE(""https://docs.google.com/spreadsheets/d/1QqKyyYR6Q21VydFLVH3TRQUabQu_ym0Zz7PgGX0-kHA/edit?usp=sharing"",""แผน!FE64"")"),1)</f>
        <v>1</v>
      </c>
      <c r="J438" s="181">
        <v>1</v>
      </c>
      <c r="K438" s="38">
        <f t="shared" ca="1" si="193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IFERROR(__xludf.DUMMYFUNCTION("IMPORTRANGE(""https://docs.google.com/spreadsheets/d/1QqKyyYR6Q21VydFLVH3TRQUabQu_ym0Zz7PgGX0-kHA/edit?usp=sharing"",""แผน!FF64"")"),20)</f>
        <v>20</v>
      </c>
      <c r="J439" s="546">
        <v>20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IFERROR(__xludf.DUMMYFUNCTION("IMPORTRANGE(""https://docs.google.com/spreadsheets/d/1QqKyyYR6Q21VydFLVH3TRQUabQu_ym0Zz7PgGX0-kHA/edit?usp=sharing"",""แผน!FG64"")"),1)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IFERROR(__xludf.DUMMYFUNCTION("IMPORTRANGE(""https://docs.google.com/spreadsheets/d/1QqKyyYR6Q21VydFLVH3TRQUabQu_ym0Zz7PgGX0-kHA/edit?usp=sharing"",""แผน!FH64"")"),0)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4">I460</f>
        <v>0</v>
      </c>
      <c r="J442" s="552">
        <f t="shared" si="194"/>
        <v>0</v>
      </c>
      <c r="K442" s="553">
        <f t="shared" ca="1" si="193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5">I462</f>
        <v>0</v>
      </c>
      <c r="J443" s="533">
        <f t="shared" si="195"/>
        <v>0</v>
      </c>
      <c r="K443" s="534">
        <f t="shared" ca="1" si="193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199"/>
        <v>0</v>
      </c>
      <c r="M446" s="45">
        <f t="shared" si="199"/>
        <v>0</v>
      </c>
      <c r="N446" s="45">
        <f t="shared" si="199"/>
        <v>0</v>
      </c>
      <c r="O446" s="45">
        <f t="shared" ca="1" si="197"/>
        <v>0</v>
      </c>
      <c r="P446" s="45">
        <f t="shared" si="198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0</v>
      </c>
      <c r="M447" s="38">
        <f t="shared" si="200"/>
        <v>0</v>
      </c>
      <c r="N447" s="38">
        <f t="shared" si="200"/>
        <v>0</v>
      </c>
      <c r="O447" s="38">
        <f t="shared" ca="1" si="197"/>
        <v>0</v>
      </c>
      <c r="P447" s="38">
        <f t="shared" si="198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IFERROR(__xludf.DUMMYFUNCTION("IMPORTRANGE(""https://docs.google.com/spreadsheets/d/1QqKyyYR6Q21VydFLVH3TRQUabQu_ym0Zz7PgGX0-kHA/edit?usp=sharing"",""แผน!FJ64"")"),0)</f>
        <v>0</v>
      </c>
      <c r="M449" s="45">
        <v>0</v>
      </c>
      <c r="N449" s="45">
        <f>N450+N451+N452+N453</f>
        <v>0</v>
      </c>
      <c r="O449" s="45">
        <f t="shared" ca="1" si="197"/>
        <v>0</v>
      </c>
      <c r="P449" s="45">
        <f t="shared" si="198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IFERROR(__xludf.DUMMYFUNCTION("IMPORTRANGE(""https://docs.google.com/spreadsheets/d/1QqKyyYR6Q21VydFLVH3TRQUabQu_ym0Zz7PgGX0-kHA/edit?usp=sharing"",""แผน!FM64"")"),0)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IFERROR(__xludf.DUMMYFUNCTION("IMPORTRANGE(""https://docs.google.com/spreadsheets/d/1QqKyyYR6Q21VydFLVH3TRQUabQu_ym0Zz7PgGX0-kHA/edit?usp=sharing"",""แผน!FN64"")"),0)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IFERROR(__xludf.DUMMYFUNCTION("IMPORTRANGE(""https://docs.google.com/spreadsheets/d/1QqKyyYR6Q21VydFLVH3TRQUabQu_ym0Zz7PgGX0-kHA/edit?usp=sharing"",""แผน!FO64"")"),0)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IFERROR(__xludf.DUMMYFUNCTION("IMPORTRANGE(""https://docs.google.com/spreadsheets/d/1QqKyyYR6Q21VydFLVH3TRQUabQu_ym0Zz7PgGX0-kHA/edit?usp=sharing"",""แผน!FO64"")"),0)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IFERROR(__xludf.DUMMYFUNCTION("IMPORTRANGE(""https://docs.google.com/spreadsheets/d/1QqKyyYR6Q21VydFLVH3TRQUabQu_ym0Zz7PgGX0-kHA/edit?usp=sharing"",""แผน!FN64"")"),0)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IFERROR(__xludf.DUMMYFUNCTION("IMPORTRANGE(""https://docs.google.com/spreadsheets/d/1QqKyyYR6Q21VydFLVH3TRQUabQu_ym0Zz7PgGX0-kHA/edit?usp=sharing"",""แผน!FX64"")"),0)</f>
        <v>0</v>
      </c>
      <c r="J465" s="552">
        <f>J485+J489+J492</f>
        <v>0</v>
      </c>
      <c r="K465" s="553">
        <f t="shared" ref="K465:K466" ca="1" si="204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IFERROR(__xludf.DUMMYFUNCTION("IMPORTRANGE(""https://docs.google.com/spreadsheets/d/1QqKyyYR6Q21VydFLVH3TRQUabQu_ym0Zz7PgGX0-kHA/edit?usp=sharing"",""แผน!FW64"")"),0)</f>
        <v>0</v>
      </c>
      <c r="J466" s="533">
        <f>J483+J487</f>
        <v>0</v>
      </c>
      <c r="K466" s="534">
        <f t="shared" ca="1" si="204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8"/>
        <v>0</v>
      </c>
      <c r="M469" s="45">
        <f t="shared" si="208"/>
        <v>0</v>
      </c>
      <c r="N469" s="45">
        <f t="shared" si="208"/>
        <v>0</v>
      </c>
      <c r="O469" s="45">
        <f t="shared" ca="1" si="206"/>
        <v>0</v>
      </c>
      <c r="P469" s="45">
        <f t="shared" si="207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0</v>
      </c>
      <c r="M470" s="38">
        <f t="shared" si="209"/>
        <v>0</v>
      </c>
      <c r="N470" s="38">
        <f t="shared" si="209"/>
        <v>0</v>
      </c>
      <c r="O470" s="38">
        <f t="shared" ca="1" si="206"/>
        <v>0</v>
      </c>
      <c r="P470" s="38">
        <f t="shared" si="207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IFERROR(__xludf.DUMMYFUNCTION("IMPORTRANGE(""https://docs.google.com/spreadsheets/d/1QqKyyYR6Q21VydFLVH3TRQUabQu_ym0Zz7PgGX0-kHA/edit?usp=sharing"",""แผน!FS64"")"),0)</f>
        <v>0</v>
      </c>
      <c r="M472" s="45">
        <v>0</v>
      </c>
      <c r="N472" s="45">
        <f>N473+N474+N475+N476</f>
        <v>0</v>
      </c>
      <c r="O472" s="45">
        <f t="shared" ca="1" si="206"/>
        <v>0</v>
      </c>
      <c r="P472" s="45">
        <f t="shared" si="207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IFERROR(__xludf.DUMMYFUNCTION("IMPORTRANGE(""https://docs.google.com/spreadsheets/d/1QqKyyYR6Q21VydFLVH3TRQUabQu_ym0Zz7PgGX0-kHA/edit?usp=sharing"",""แผน!FV64"")"),0)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IFERROR(__xludf.DUMMYFUNCTION("IMPORTRANGE(""https://docs.google.com/spreadsheets/d/1QqKyyYR6Q21VydFLVH3TRQUabQu_ym0Zz7PgGX0-kHA/edit?usp=sharing"",""แผน!FY64"")"),0)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IFERROR(__xludf.DUMMYFUNCTION("IMPORTRANGE(""https://docs.google.com/spreadsheets/d/1QqKyyYR6Q21VydFLVH3TRQUabQu_ym0Zz7PgGX0-kHA/edit?usp=sharing"",""แผน!FZ64"")"),0)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IFERROR(__xludf.DUMMYFUNCTION("IMPORTRANGE(""https://docs.google.com/spreadsheets/d/1QqKyyYR6Q21VydFLVH3TRQUabQu_ym0Zz7PgGX0-kHA/edit?usp=sharing"",""แผน!GA64"")"),0)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IFERROR(__xludf.DUMMYFUNCTION("IMPORTRANGE(""https://docs.google.com/spreadsheets/d/1QqKyyYR6Q21VydFLVH3TRQUabQu_ym0Zz7PgGX0-kHA/edit?usp=sharing"",""แผน!GB64"")"),0)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IFERROR(__xludf.DUMMYFUNCTION("IMPORTRANGE(""https://docs.google.com/spreadsheets/d/1QqKyyYR6Q21VydFLVH3TRQUabQu_ym0Zz7PgGX0-kHA/edit?usp=sharing"",""แผน!GC64"")"),0)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IFERROR(__xludf.DUMMYFUNCTION("IMPORTRANGE(""https://docs.google.com/spreadsheets/d/1QqKyyYR6Q21VydFLVH3TRQUabQu_ym0Zz7PgGX0-kHA/edit?usp=sharing"",""แผน!FY64"")"),0)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IFERROR(__xludf.DUMMYFUNCTION("IMPORTRANGE(""https://docs.google.com/spreadsheets/d/1QqKyyYR6Q21VydFLVH3TRQUabQu_ym0Zz7PgGX0-kHA/edit?usp=sharing"",""แผน!GA64"")"),0)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3">J516</f>
        <v>0</v>
      </c>
      <c r="K500" s="586">
        <f t="shared" ref="K500:K501" si="214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3"/>
        <v>0</v>
      </c>
      <c r="K501" s="594">
        <f t="shared" si="214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5">L503+L504</f>
        <v>0</v>
      </c>
      <c r="M502" s="598">
        <f t="shared" si="215"/>
        <v>0</v>
      </c>
      <c r="N502" s="598">
        <f t="shared" si="215"/>
        <v>0</v>
      </c>
      <c r="O502" s="598">
        <f t="shared" ref="O502:O507" si="216">IF(L502&gt;0,N502*100/L502,0)</f>
        <v>0</v>
      </c>
      <c r="P502" s="598">
        <f t="shared" ref="P502:P507" si="217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3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4">I537</f>
        <v>0</v>
      </c>
      <c r="J522" s="627">
        <f t="shared" ca="1" si="224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IFERROR(__xludf.DUMMYFUNCTION("IMPORTRANGE(""https://docs.google.com/spreadsheets/d/1QqKyyYR6Q21VydFLVH3TRQUabQu_ym0Zz7PgGX0-kHA/edit?usp=sharing"",""แผน!GQ64"")"),0)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IFERROR(__xludf.DUMMYFUNCTION("IMPORTRANGE(""https://docs.google.com/spreadsheets/d/1QqKyyYR6Q21VydFLVH3TRQUabQu_ym0Zz7PgGX0-kHA/edit?usp=sharing"",""แผน!GT64"")"),0)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IFERROR(__xludf.DUMMYFUNCTION("IMPORTRANGE(""https://docs.google.com/spreadsheets/d/1QqKyyYR6Q21VydFLVH3TRQUabQu_ym0Zz7PgGX0-kHA/edit?usp=sharing"",""แผน!GU64"")"),0)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IFERROR(__xludf.DUMMYFUNCTION("IMPORTRANGE(""https://docs.google.com/spreadsheets/d/1QqKyyYR6Q21VydFLVH3TRQUabQu_ym0Zz7PgGX0-kHA/edit?usp=sharing"",""แผน!GV64"")"),0)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IFERROR(__xludf.DUMMYFUNCTION("IMPORTRANGE(""https://docs.google.com/spreadsheets/d/1QqKyyYR6Q21VydFLVH3TRQUabQu_ym0Zz7PgGX0-kHA/edit?usp=sharing"",""แผน!GW64"")"),0)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IFERROR(__xludf.DUMMYFUNCTION("IMPORTRANGE(""https://docs.google.com/spreadsheets/d/1QqKyyYR6Q21VydFLVH3TRQUabQu_ym0Zz7PgGX0-kHA/edit?usp=sharing"",""แผน!GX64"")"),0)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IFERROR(__xludf.DUMMYFUNCTION("IMPORTRANGE(""https://docs.google.com/spreadsheets/d/1QqKyyYR6Q21VydFLVH3TRQUabQu_ym0Zz7PgGX0-kHA/edit?usp=sharing"",""แผน!GY64"")"),0)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IFERROR(__xludf.DUMMYFUNCTION("IMPORTRANGE(""https://docs.google.com/spreadsheets/d/1QqKyyYR6Q21VydFLVH3TRQUabQu_ym0Zz7PgGX0-kHA/edit?usp=sharing"",""แผน!GZ64"")"),0)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4">I559</f>
        <v>0</v>
      </c>
      <c r="J543" s="635">
        <f t="shared" si="234"/>
        <v>0</v>
      </c>
      <c r="K543" s="636">
        <f t="shared" ca="1" si="233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5">L545+L546</f>
        <v>219200</v>
      </c>
      <c r="M544" s="154">
        <f t="shared" ca="1" si="235"/>
        <v>219200</v>
      </c>
      <c r="N544" s="154">
        <f t="shared" si="235"/>
        <v>150165.23000000001</v>
      </c>
      <c r="O544" s="154">
        <f t="shared" ref="O544:O549" ca="1" si="236">IF(L544&gt;0,N544*100/L544,0)</f>
        <v>68.50603558394161</v>
      </c>
      <c r="P544" s="154">
        <f t="shared" ref="P544:P549" ca="1" si="237">IF(M544&gt;0,N544*100/M544,0)</f>
        <v>68.50603558394161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8"/>
        <v>219200</v>
      </c>
      <c r="M546" s="45">
        <f t="shared" ca="1" si="239"/>
        <v>219200</v>
      </c>
      <c r="N546" s="45">
        <f t="shared" si="239"/>
        <v>150165.23000000001</v>
      </c>
      <c r="O546" s="45">
        <f t="shared" ca="1" si="236"/>
        <v>68.50603558394161</v>
      </c>
      <c r="P546" s="45">
        <f t="shared" ca="1" si="237"/>
        <v>68.50603558394161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219200</v>
      </c>
      <c r="M547" s="38">
        <f t="shared" ca="1" si="240"/>
        <v>219200</v>
      </c>
      <c r="N547" s="38">
        <f t="shared" si="240"/>
        <v>150165.23000000001</v>
      </c>
      <c r="O547" s="38">
        <f t="shared" ca="1" si="236"/>
        <v>68.50603558394161</v>
      </c>
      <c r="P547" s="38">
        <f t="shared" ca="1" si="237"/>
        <v>68.50603558394161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IFERROR(__xludf.DUMMYFUNCTION("IMPORTRANGE(""https://docs.google.com/spreadsheets/d/1QqKyyYR6Q21VydFLVH3TRQUabQu_ym0Zz7PgGX0-kHA/edit?usp=sharing"",""แผน!HB64"")"),219200)</f>
        <v>219200</v>
      </c>
      <c r="M549" s="45">
        <f ca="1">L549</f>
        <v>219200</v>
      </c>
      <c r="N549" s="45">
        <f>N550+N551+N552+N553+N554</f>
        <v>150165.23000000001</v>
      </c>
      <c r="O549" s="45">
        <f t="shared" ca="1" si="236"/>
        <v>68.50603558394161</v>
      </c>
      <c r="P549" s="45">
        <f t="shared" ca="1" si="237"/>
        <v>68.50603558394161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87533.33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62631.9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IFERROR(__xludf.DUMMYFUNCTION("IMPORTRANGE(""https://docs.google.com/spreadsheets/d/1QqKyyYR6Q21VydFLVH3TRQUabQu_ym0Zz7PgGX0-kHA/edit?usp=sharing"",""แผน!HF64"")"),0)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4">I576</f>
        <v>0</v>
      </c>
      <c r="J559" s="627">
        <f t="shared" si="244"/>
        <v>0</v>
      </c>
      <c r="K559" s="628">
        <f t="shared" ref="K559:K561" ca="1" si="245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IFERROR(__xludf.DUMMYFUNCTION("IMPORTRANGE(""https://docs.google.com/spreadsheets/d/1QqKyyYR6Q21VydFLVH3TRQUabQu_ym0Zz7PgGX0-kHA/edit?usp=sharing"",""แผน!HH64"")"),0)</f>
        <v>0</v>
      </c>
      <c r="J560" s="189">
        <f t="shared" ref="J560:J561" si="246">J562+J564+J566</f>
        <v>0</v>
      </c>
      <c r="K560" s="390">
        <f t="shared" ca="1" si="245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IFERROR(__xludf.DUMMYFUNCTION("IMPORTRANGE(""https://docs.google.com/spreadsheets/d/1QqKyyYR6Q21VydFLVH3TRQUabQu_ym0Zz7PgGX0-kHA/edit?usp=sharing"",""แผน!HG64"")"),0)</f>
        <v>0</v>
      </c>
      <c r="J561" s="189">
        <f t="shared" si="246"/>
        <v>0</v>
      </c>
      <c r="K561" s="390">
        <f t="shared" ca="1" si="245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IFERROR(__xludf.DUMMYFUNCTION("IMPORTRANGE(""https://docs.google.com/spreadsheets/d/1QqKyyYR6Q21VydFLVH3TRQUabQu_ym0Zz7PgGX0-kHA/edit?usp=sharing"",""แผน!HH64"")"),0)</f>
        <v>0</v>
      </c>
      <c r="J568" s="190">
        <f t="shared" ref="J568:J569" si="247">J570+J572+J574</f>
        <v>0</v>
      </c>
      <c r="K568" s="390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IFERROR(__xludf.DUMMYFUNCTION("IMPORTRANGE(""https://docs.google.com/spreadsheets/d/1QqKyyYR6Q21VydFLVH3TRQUabQu_ym0Zz7PgGX0-kHA/edit?usp=sharing"",""แผน!HG64"")"),0)</f>
        <v>0</v>
      </c>
      <c r="J569" s="190">
        <f t="shared" si="247"/>
        <v>0</v>
      </c>
      <c r="K569" s="390">
        <f t="shared" ca="1" si="248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IFERROR(__xludf.DUMMYFUNCTION("IMPORTRANGE(""https://docs.google.com/spreadsheets/d/1QqKyyYR6Q21VydFLVH3TRQUabQu_ym0Zz7PgGX0-kHA/edit?usp=sharing"",""แผน!HH64"")"),0)</f>
        <v>0</v>
      </c>
      <c r="J576" s="190">
        <f t="shared" ref="J576:J577" si="249">J578+J580+J582+J588+J590</f>
        <v>0</v>
      </c>
      <c r="K576" s="390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IFERROR(__xludf.DUMMYFUNCTION("IMPORTRANGE(""https://docs.google.com/spreadsheets/d/1QqKyyYR6Q21VydFLVH3TRQUabQu_ym0Zz7PgGX0-kHA/edit?usp=sharing"",""แผน!HG64"")"),0)</f>
        <v>0</v>
      </c>
      <c r="J577" s="190">
        <f t="shared" si="249"/>
        <v>0</v>
      </c>
      <c r="K577" s="390">
        <f t="shared" ca="1" si="250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2">I593</f>
        <v>92.73</v>
      </c>
      <c r="J592" s="627">
        <f t="shared" si="252"/>
        <v>0</v>
      </c>
      <c r="K592" s="628">
        <f t="shared" ref="K592:K594" ca="1" si="253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IFERROR(__xludf.DUMMYFUNCTION("IMPORTRANGE(""https://docs.google.com/spreadsheets/d/1QqKyyYR6Q21VydFLVH3TRQUabQu_ym0Zz7PgGX0-kHA/edit?usp=sharing"",""แผน!HJ64"")"),92.73)</f>
        <v>92.73</v>
      </c>
      <c r="J593" s="189">
        <f t="shared" ref="J593:J594" si="254">J595+J603+J609</f>
        <v>0</v>
      </c>
      <c r="K593" s="390">
        <f t="shared" ca="1" si="253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IFERROR(__xludf.DUMMYFUNCTION("IMPORTRANGE(""https://docs.google.com/spreadsheets/d/1QqKyyYR6Q21VydFLVH3TRQUabQu_ym0Zz7PgGX0-kHA/edit?usp=sharing"",""แผน!HI64"")"),24)</f>
        <v>24</v>
      </c>
      <c r="J594" s="189">
        <f t="shared" si="254"/>
        <v>0</v>
      </c>
      <c r="K594" s="390">
        <f t="shared" ca="1" si="253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5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5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6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6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7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8">J614+J616</f>
        <v>0</v>
      </c>
      <c r="K612" s="663">
        <f t="shared" si="257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8"/>
        <v>0</v>
      </c>
      <c r="K613" s="663">
        <f t="shared" si="257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IFERROR(__xludf.DUMMYFUNCTION("IMPORTRANGE(""https://docs.google.com/spreadsheets/d/1QqKyyYR6Q21VydFLVH3TRQUabQu_ym0Zz7PgGX0-kHA/edit?usp=sharing"",""แผน!HL64"")"),0)</f>
        <v>0</v>
      </c>
      <c r="J620" s="672">
        <f t="shared" ref="J620:J621" si="259">J622+J624+J626</f>
        <v>0</v>
      </c>
      <c r="K620" s="673">
        <f t="shared" ref="K620:K621" ca="1" si="260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IFERROR(__xludf.DUMMYFUNCTION("IMPORTRANGE(""https://docs.google.com/spreadsheets/d/1QqKyyYR6Q21VydFLVH3TRQUabQu_ym0Zz7PgGX0-kHA/edit?usp=sharing"",""แผน!HK64"")"),0)</f>
        <v>0</v>
      </c>
      <c r="J621" s="672">
        <f t="shared" si="259"/>
        <v>0</v>
      </c>
      <c r="K621" s="673">
        <f t="shared" ca="1" si="260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1">I651</f>
        <v>0</v>
      </c>
      <c r="J628" s="683">
        <f t="shared" ca="1" si="261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5"/>
        <v>0</v>
      </c>
      <c r="M631" s="45">
        <f t="shared" si="265"/>
        <v>0</v>
      </c>
      <c r="N631" s="45">
        <f t="shared" si="265"/>
        <v>0</v>
      </c>
      <c r="O631" s="45">
        <f t="shared" ca="1" si="263"/>
        <v>0</v>
      </c>
      <c r="P631" s="45">
        <f t="shared" si="264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0</v>
      </c>
      <c r="M632" s="38">
        <f t="shared" si="266"/>
        <v>0</v>
      </c>
      <c r="N632" s="38">
        <f t="shared" si="266"/>
        <v>0</v>
      </c>
      <c r="O632" s="38">
        <f t="shared" ca="1" si="263"/>
        <v>0</v>
      </c>
      <c r="P632" s="38">
        <f t="shared" si="264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IFERROR(__xludf.DUMMYFUNCTION("IMPORTRANGE(""https://docs.google.com/spreadsheets/d/1QqKyyYR6Q21VydFLVH3TRQUabQu_ym0Zz7PgGX0-kHA/edit?usp=sharing"",""แผน!HN64"")"),0)</f>
        <v>0</v>
      </c>
      <c r="M634" s="45">
        <v>0</v>
      </c>
      <c r="N634" s="45">
        <f>N635+N636+N637+N638</f>
        <v>0</v>
      </c>
      <c r="O634" s="45">
        <f t="shared" ca="1" si="263"/>
        <v>0</v>
      </c>
      <c r="P634" s="45">
        <f t="shared" si="264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IFERROR(__xludf.DUMMYFUNCTION("IMPORTRANGE(""https://docs.google.com/spreadsheets/d/1QqKyyYR6Q21VydFLVH3TRQUabQu_ym0Zz7PgGX0-kHA/edit?usp=sharing"",""แผน!HQ64"")"),0)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IFERROR(__xludf.DUMMYFUNCTION("IMPORTRANGE(""https://docs.google.com/spreadsheets/d/1QqKyyYR6Q21VydFLVH3TRQUabQu_ym0Zz7PgGX0-kHA/edit?usp=sharing"",""แผน!HR64"")"),0)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IFERROR(__xludf.DUMMYFUNCTION("IMPORTRANGE(""https://docs.google.com/spreadsheets/d/1QqKyyYR6Q21VydFLVH3TRQUabQu_ym0Zz7PgGX0-kHA/edit?usp=sharing"",""แผน!HR64"")"),0)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IFERROR(__xludf.DUMMYFUNCTION("IMPORTRANGE(""https://docs.google.com/spreadsheets/d/1XWAQStnk-4SwqDmLtmXYiTMKHgktTP8We1SCoS47DrQ/edit?usp=sharing"",""จัดที่ดิน!AS64"")"),0)</f>
        <v>0</v>
      </c>
      <c r="K645" s="162">
        <f t="shared" si="270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IFERROR(__xludf.DUMMYFUNCTION("IMPORTRANGE(""https://docs.google.com/spreadsheets/d/1XWAQStnk-4SwqDmLtmXYiTMKHgktTP8We1SCoS47DrQ/edit?usp=sharing"",""จัดที่ดิน!AT64"")"),0)</f>
        <v>0</v>
      </c>
      <c r="K646" s="38">
        <f t="shared" si="270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IFERROR(__xludf.DUMMYFUNCTION("IMPORTRANGE(""https://docs.google.com/spreadsheets/d/1QqKyyYR6Q21VydFLVH3TRQUabQu_ym0Zz7PgGX0-kHA/edit?usp=sharing"",""แผน!HS64"")"),0)</f>
        <v>0</v>
      </c>
      <c r="J647" s="37">
        <f ca="1">IFERROR(__xludf.DUMMYFUNCTION("IMPORTRANGE(""https://docs.google.com/spreadsheets/d/1XWAQStnk-4SwqDmLtmXYiTMKHgktTP8We1SCoS47DrQ/edit?usp=sharing"",""จัดที่ดิน!AU64"")"),0)</f>
        <v>0</v>
      </c>
      <c r="K647" s="162">
        <f t="shared" ca="1" si="270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IFERROR(__xludf.DUMMYFUNCTION("IMPORTRANGE(""https://docs.google.com/spreadsheets/d/1XWAQStnk-4SwqDmLtmXYiTMKHgktTP8We1SCoS47DrQ/edit?usp=sharing"",""จัดที่ดิน!AV64"")"),0)</f>
        <v>0</v>
      </c>
      <c r="K648" s="38">
        <f t="shared" si="270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IFERROR(__xludf.DUMMYFUNCTION("IMPORTRANGE(""https://docs.google.com/spreadsheets/d/1QqKyyYR6Q21VydFLVH3TRQUabQu_ym0Zz7PgGX0-kHA/edit?usp=sharing"",""แผน!HS64"")"),0)</f>
        <v>0</v>
      </c>
      <c r="J649" s="37">
        <f ca="1">IFERROR(__xludf.DUMMYFUNCTION("IMPORTRANGE(""https://docs.google.com/spreadsheets/d/1XWAQStnk-4SwqDmLtmXYiTMKHgktTP8We1SCoS47DrQ/edit?usp=sharing"",""จัดที่ดิน!AW64"")"),0)</f>
        <v>0</v>
      </c>
      <c r="K649" s="162">
        <f t="shared" ca="1" si="270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IFERROR(__xludf.DUMMYFUNCTION("IMPORTRANGE(""https://docs.google.com/spreadsheets/d/1XWAQStnk-4SwqDmLtmXYiTMKHgktTP8We1SCoS47DrQ/edit?usp=sharing"",""จัดที่ดิน!AX64"")"),0)</f>
        <v>0</v>
      </c>
      <c r="K650" s="38">
        <f t="shared" si="270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IFERROR(__xludf.DUMMYFUNCTION("IMPORTRANGE(""https://docs.google.com/spreadsheets/d/1QqKyyYR6Q21VydFLVH3TRQUabQu_ym0Zz7PgGX0-kHA/edit?usp=sharing"",""แผน!HS64"")"),0)</f>
        <v>0</v>
      </c>
      <c r="J651" s="37">
        <f ca="1">IFERROR(__xludf.DUMMYFUNCTION("IMPORTRANGE(""https://docs.google.com/spreadsheets/d/1XWAQStnk-4SwqDmLtmXYiTMKHgktTP8We1SCoS47DrQ/edit?usp=sharing"",""จัดที่ดิน!AY64"")"),0)</f>
        <v>0</v>
      </c>
      <c r="K651" s="162">
        <f t="shared" ca="1" si="270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IFERROR(__xludf.DUMMYFUNCTION("IMPORTRANGE(""https://docs.google.com/spreadsheets/d/1XWAQStnk-4SwqDmLtmXYiTMKHgktTP8We1SCoS47DrQ/edit?usp=sharing"",""จัดที่ดิน!AZ64"")"),0)</f>
        <v>0</v>
      </c>
      <c r="K652" s="472">
        <f t="shared" si="270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1">I669</f>
        <v>185</v>
      </c>
      <c r="J654" s="627">
        <f t="shared" si="271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2">L656+L657</f>
        <v>20700</v>
      </c>
      <c r="M655" s="191">
        <f t="shared" ca="1" si="272"/>
        <v>20700</v>
      </c>
      <c r="N655" s="191">
        <f t="shared" si="272"/>
        <v>5273.2</v>
      </c>
      <c r="O655" s="191">
        <f t="shared" ref="O655:O660" ca="1" si="273">IF(L655&gt;0,N655*100/L655,0)</f>
        <v>25.4743961352657</v>
      </c>
      <c r="P655" s="191">
        <f t="shared" ref="P655:P660" ca="1" si="274">IF(M655&gt;0,N655*100/M655,0)</f>
        <v>25.4743961352657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5"/>
        <v>20700</v>
      </c>
      <c r="M657" s="45">
        <f t="shared" ca="1" si="275"/>
        <v>20700</v>
      </c>
      <c r="N657" s="45">
        <f t="shared" si="275"/>
        <v>5273.2</v>
      </c>
      <c r="O657" s="45">
        <f t="shared" ca="1" si="273"/>
        <v>25.4743961352657</v>
      </c>
      <c r="P657" s="45">
        <f t="shared" ca="1" si="274"/>
        <v>25.4743961352657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20700</v>
      </c>
      <c r="M658" s="38">
        <f t="shared" ca="1" si="276"/>
        <v>20700</v>
      </c>
      <c r="N658" s="38">
        <f t="shared" si="276"/>
        <v>5273.2</v>
      </c>
      <c r="O658" s="38">
        <f t="shared" ca="1" si="273"/>
        <v>25.4743961352657</v>
      </c>
      <c r="P658" s="38">
        <f t="shared" ca="1" si="274"/>
        <v>25.4743961352657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IFERROR(__xludf.DUMMYFUNCTION("IMPORTRANGE(""https://docs.google.com/spreadsheets/d/1QqKyyYR6Q21VydFLVH3TRQUabQu_ym0Zz7PgGX0-kHA/edit?usp=sharing"",""แผน!HV64"")"),20700)</f>
        <v>20700</v>
      </c>
      <c r="M660" s="45">
        <f ca="1">L660</f>
        <v>20700</v>
      </c>
      <c r="N660" s="45">
        <f>N661+N662+N663+N664</f>
        <v>5273.2</v>
      </c>
      <c r="O660" s="45">
        <f t="shared" ca="1" si="273"/>
        <v>25.4743961352657</v>
      </c>
      <c r="P660" s="45">
        <f t="shared" ca="1" si="274"/>
        <v>25.4743961352657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5273.2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IFERROR(__xludf.DUMMYFUNCTION("IMPORTRANGE(""https://docs.google.com/spreadsheets/d/1QqKyyYR6Q21VydFLVH3TRQUabQu_ym0Zz7PgGX0-kHA/edit?usp=sharing"",""แผน!IA64"")"),185)</f>
        <v>185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IFERROR(__xludf.DUMMYFUNCTION("IMPORTRANGE(""https://docs.google.com/spreadsheets/d/1QqKyyYR6Q21VydFLVH3TRQUabQu_ym0Zz7PgGX0-kHA/edit?usp=sharing"",""แผน!HZ64"")"),6)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IFERROR(__xludf.DUMMYFUNCTION("IMPORTRANGE(""https://docs.google.com/spreadsheets/d/1QqKyyYR6Q21VydFLVH3TRQUabQu_ym0Zz7PgGX0-kHA/edit?usp=sharing"",""แผน!HZ64"")"),6)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224</v>
      </c>
      <c r="K672" s="38">
        <f t="shared" ref="K672:K675" ca="1" si="280">IF(I$669&gt;0,J672*100/I$669,0)</f>
        <v>121.08108108108108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224</v>
      </c>
      <c r="K673" s="38">
        <f t="shared" ca="1" si="280"/>
        <v>121.08108108108108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IFERROR(__xludf.DUMMYFUNCTION("IMPORTRANGE(""https://docs.google.com/spreadsheets/d/1QqKyyYR6Q21VydFLVH3TRQUabQu_ym0Zz7PgGX0-kHA/edit?usp=sharing"",""แผน!IB64"")"),0)</f>
        <v>0</v>
      </c>
      <c r="J678" s="190">
        <f>J679</f>
        <v>136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136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136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1">L686+L687</f>
        <v>41600</v>
      </c>
      <c r="M685" s="191">
        <f t="shared" ca="1" si="281"/>
        <v>41600</v>
      </c>
      <c r="N685" s="191">
        <f t="shared" si="281"/>
        <v>3645</v>
      </c>
      <c r="O685" s="191">
        <f t="shared" ref="O685:O688" ca="1" si="282">IF(L685&gt;0,N685*100/L685,0)</f>
        <v>8.7620192307692299</v>
      </c>
      <c r="P685" s="191">
        <f t="shared" ref="P685:P688" ca="1" si="283">IF(M685&gt;0,N685*100/M685,0)</f>
        <v>8.7620192307692299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4"/>
        <v>41600</v>
      </c>
      <c r="M687" s="45">
        <f t="shared" ca="1" si="284"/>
        <v>41600</v>
      </c>
      <c r="N687" s="45">
        <f t="shared" si="284"/>
        <v>3645</v>
      </c>
      <c r="O687" s="45">
        <f t="shared" ca="1" si="282"/>
        <v>8.7620192307692299</v>
      </c>
      <c r="P687" s="45">
        <f t="shared" ca="1" si="283"/>
        <v>8.7620192307692299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41600</v>
      </c>
      <c r="M688" s="38">
        <f t="shared" ca="1" si="285"/>
        <v>41600</v>
      </c>
      <c r="N688" s="38">
        <f t="shared" si="285"/>
        <v>3645</v>
      </c>
      <c r="O688" s="38">
        <f t="shared" ca="1" si="282"/>
        <v>8.7620192307692299</v>
      </c>
      <c r="P688" s="38">
        <f t="shared" ca="1" si="283"/>
        <v>8.7620192307692299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IFERROR(__xludf.DUMMYFUNCTION("IMPORTRANGE(""https://docs.google.com/spreadsheets/d/1QqKyyYR6Q21VydFLVH3TRQUabQu_ym0Zz7PgGX0-kHA/edit?usp=sharing"",""แผน!HW64"")"),41600)</f>
        <v>41600</v>
      </c>
      <c r="M690" s="45">
        <f ca="1">L690</f>
        <v>41600</v>
      </c>
      <c r="N690" s="45">
        <f>N691+N692+N693+N694</f>
        <v>3645</v>
      </c>
      <c r="O690" s="45">
        <f ca="1">IF(L690&gt;0,N690*100/L690,0)</f>
        <v>8.7620192307692299</v>
      </c>
      <c r="P690" s="45">
        <f ca="1">IF(M690&gt;0,N690*100/M690,0)</f>
        <v>8.7620192307692299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3645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IFERROR(__xludf.DUMMYFUNCTION("IMPORTRANGE(""https://docs.google.com/spreadsheets/d/1QqKyyYR6Q21VydFLVH3TRQUabQu_ym0Zz7PgGX0-kHA/edit?usp=sharing"",""แผน!IC64"")"),0)</f>
        <v>0</v>
      </c>
      <c r="J699" s="37">
        <f ca="1">IFERROR(__xludf.DUMMYFUNCTION("IMPORTRANGE(""https://docs.google.com/spreadsheets/d/1XWAQStnk-4SwqDmLtmXYiTMKHgktTP8We1SCoS47DrQ/edit?usp=sharing"",""จัดที่ดิน!BB64"")"),0)</f>
        <v>0</v>
      </c>
      <c r="K699" s="38">
        <f t="shared" ref="K699:K701" ca="1" si="289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IFERROR(__xludf.DUMMYFUNCTION("IMPORTRANGE(""https://docs.google.com/spreadsheets/d/1QqKyyYR6Q21VydFLVH3TRQUabQu_ym0Zz7PgGX0-kHA/edit?usp=sharing"",""แผน!ID64"")"),45)</f>
        <v>45</v>
      </c>
      <c r="J700" s="37">
        <f ca="1">IFERROR(__xludf.DUMMYFUNCTION("IMPORTRANGE(""https://docs.google.com/spreadsheets/d/1XWAQStnk-4SwqDmLtmXYiTMKHgktTP8We1SCoS47DrQ/edit?usp=sharing"",""จัดที่ดิน!BD64"")"),0)</f>
        <v>0</v>
      </c>
      <c r="K700" s="38">
        <f t="shared" ca="1" si="289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IFERROR(__xludf.DUMMYFUNCTION("IMPORTRANGE(""https://docs.google.com/spreadsheets/d/1QqKyyYR6Q21VydFLVH3TRQUabQu_ym0Zz7PgGX0-kHA/edit?usp=sharing"",""แผน!IE64"")"),0)</f>
        <v>0</v>
      </c>
      <c r="J701" s="190">
        <f>J704+J707</f>
        <v>0</v>
      </c>
      <c r="K701" s="191">
        <f t="shared" ca="1" si="289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IFERROR(__xludf.DUMMYFUNCTION("IMPORTRANGE(""https://docs.google.com/spreadsheets/d/1QqKyyYR6Q21VydFLVH3TRQUabQu_ym0Zz7PgGX0-kHA/edit?usp=sharing"",""แผน!IF64"")"),0)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IFERROR(__xludf.DUMMYFUNCTION("IMPORTRANGE(""https://docs.google.com/spreadsheets/d/1QqKyyYR6Q21VydFLVH3TRQUabQu_ym0Zz7PgGX0-kHA/edit?usp=sharing"",""แผน!IG64"")"),0)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IFERROR(__xludf.DUMMYFUNCTION("IMPORTRANGE(""https://docs.google.com/spreadsheets/d/1QqKyyYR6Q21VydFLVH3TRQUabQu_ym0Zz7PgGX0-kHA/edit?usp=sharing"",""แผน!IH64"")"),25)</f>
        <v>25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IFERROR(__xludf.DUMMYFUNCTION("IMPORTRANGE(""https://docs.google.com/spreadsheets/d/1XWAQStnk-4SwqDmLtmXYiTMKHgktTP8We1SCoS47DrQ/edit?usp=sharing"",""จัดที่ดิน!BF64"")"),0)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IFERROR(__xludf.DUMMYFUNCTION("IMPORTRANGE(""https://docs.google.com/spreadsheets/d/1XWAQStnk-4SwqDmLtmXYiTMKHgktTP8We1SCoS47DrQ/edit?usp=sharing"",""จัดที่ดิน!BG64"")"),0)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IFERROR(__xludf.DUMMYFUNCTION("IMPORTRANGE(""https://docs.google.com/spreadsheets/d/1QqKyyYR6Q21VydFLVH3TRQUabQu_ym0Zz7PgGX0-kHA/edit?usp=sharing"",""แผน!II64"")"),400)</f>
        <v>400</v>
      </c>
      <c r="J720" s="37">
        <f ca="1">IFERROR(__xludf.DUMMYFUNCTION("IMPORTRANGE(""https://docs.google.com/spreadsheets/d/1XWAQStnk-4SwqDmLtmXYiTMKHgktTP8We1SCoS47DrQ/edit?usp=sharing"",""จัดที่ดิน!BH64"")"),0)</f>
        <v>0</v>
      </c>
      <c r="K720" s="38">
        <f t="shared" ref="K720:K723" ca="1" si="290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IFERROR(__xludf.DUMMYFUNCTION("IMPORTRANGE(""https://docs.google.com/spreadsheets/d/1QqKyyYR6Q21VydFLVH3TRQUabQu_ym0Zz7PgGX0-kHA/edit?usp=sharing"",""แผน!IJ64"")"),35)</f>
        <v>35</v>
      </c>
      <c r="J721" s="190">
        <f ca="1">J723+J726</f>
        <v>26</v>
      </c>
      <c r="K721" s="191">
        <f t="shared" ca="1" si="290"/>
        <v>74.285714285714292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IFERROR(__xludf.DUMMYFUNCTION("IMPORTRANGE(""https://docs.google.com/spreadsheets/d/1QqKyyYR6Q21VydFLVH3TRQUabQu_ym0Zz7PgGX0-kHA/edit?usp=sharing"",""แผน!IK64"")"),386)</f>
        <v>386</v>
      </c>
      <c r="J722" s="190">
        <f ca="1">J725+J728</f>
        <v>334.34</v>
      </c>
      <c r="K722" s="191">
        <f t="shared" ca="1" si="290"/>
        <v>86.616580310880835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IFERROR(__xludf.DUMMYFUNCTION("IMPORTRANGE(""https://docs.google.com/spreadsheets/d/1QqKyyYR6Q21VydFLVH3TRQUabQu_ym0Zz7PgGX0-kHA/edit?usp=sharing"",""แผน!IL64"")"),35)</f>
        <v>35</v>
      </c>
      <c r="J723" s="37">
        <f ca="1">IFERROR(__xludf.DUMMYFUNCTION("IMPORTRANGE(""https://docs.google.com/spreadsheets/d/1XWAQStnk-4SwqDmLtmXYiTMKHgktTP8We1SCoS47DrQ/edit?usp=sharing"",""จัดที่ดิน!BM64"")"),26)</f>
        <v>26</v>
      </c>
      <c r="K723" s="38">
        <f t="shared" ca="1" si="290"/>
        <v>74.285714285714292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IFERROR(__xludf.DUMMYFUNCTION("IMPORTRANGE(""https://docs.google.com/spreadsheets/d/1XWAQStnk-4SwqDmLtmXYiTMKHgktTP8We1SCoS47DrQ/edit?usp=sharing"",""จัดที่ดิน!BN64"")"),29)</f>
        <v>29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IFERROR(__xludf.DUMMYFUNCTION("IMPORTRANGE(""https://docs.google.com/spreadsheets/d/1QqKyyYR6Q21VydFLVH3TRQUabQu_ym0Zz7PgGX0-kHA/edit?usp=sharing"",""แผน!IM64"")"),386)</f>
        <v>386</v>
      </c>
      <c r="J725" s="37">
        <f ca="1">IFERROR(__xludf.DUMMYFUNCTION("IMPORTRANGE(""https://docs.google.com/spreadsheets/d/1XWAQStnk-4SwqDmLtmXYiTMKHgktTP8We1SCoS47DrQ/edit?usp=sharing"",""จัดที่ดิน!BO64"")"),334.34)</f>
        <v>334.34</v>
      </c>
      <c r="K725" s="38">
        <f t="shared" ref="K725:K726" ca="1" si="291">IF(I725&gt;0,J725*100/I725,0)</f>
        <v>86.616580310880835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IFERROR(__xludf.DUMMYFUNCTION("IMPORTRANGE(""https://docs.google.com/spreadsheets/d/1QqKyyYR6Q21VydFLVH3TRQUabQu_ym0Zz7PgGX0-kHA/edit?usp=sharing"",""แผน!IN64"")"),0)</f>
        <v>0</v>
      </c>
      <c r="J726" s="37">
        <f ca="1">IFERROR(__xludf.DUMMYFUNCTION("IMPORTRANGE(""https://docs.google.com/spreadsheets/d/1XWAQStnk-4SwqDmLtmXYiTMKHgktTP8We1SCoS47DrQ/edit?usp=sharing"",""จัดที่ดิน!BR64"")"),0)</f>
        <v>0</v>
      </c>
      <c r="K726" s="38">
        <f t="shared" ca="1" si="291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IFERROR(__xludf.DUMMYFUNCTION("IMPORTRANGE(""https://docs.google.com/spreadsheets/d/1XWAQStnk-4SwqDmLtmXYiTMKHgktTP8We1SCoS47DrQ/edit?usp=sharing"",""จัดที่ดิน!BS64"")"),0)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IFERROR(__xludf.DUMMYFUNCTION("IMPORTRANGE(""https://docs.google.com/spreadsheets/d/1QqKyyYR6Q21VydFLVH3TRQUabQu_ym0Zz7PgGX0-kHA/edit?usp=sharing"",""แผน!IO64"")"),0)</f>
        <v>0</v>
      </c>
      <c r="J728" s="37">
        <f ca="1">IFERROR(__xludf.DUMMYFUNCTION("IMPORTRANGE(""https://docs.google.com/spreadsheets/d/1XWAQStnk-4SwqDmLtmXYiTMKHgktTP8We1SCoS47DrQ/edit?usp=sharing"",""จัดที่ดิน!BT64"")"),0)</f>
        <v>0</v>
      </c>
      <c r="K728" s="38">
        <f t="shared" ref="K728:K729" ca="1" si="292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IFERROR(__xludf.DUMMYFUNCTION("IMPORTRANGE(""https://docs.google.com/spreadsheets/d/1QqKyyYR6Q21VydFLVH3TRQUabQu_ym0Zz7PgGX0-kHA/edit?usp=sharing"",""แผน!IP64"")"),185)</f>
        <v>185</v>
      </c>
      <c r="J729" s="190">
        <f>J732+J735</f>
        <v>144</v>
      </c>
      <c r="K729" s="191">
        <f t="shared" ca="1" si="292"/>
        <v>77.837837837837839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2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2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10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15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16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134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3">L738+L739</f>
        <v>0</v>
      </c>
      <c r="M737" s="598">
        <f t="shared" si="293"/>
        <v>0</v>
      </c>
      <c r="N737" s="598">
        <f t="shared" si="293"/>
        <v>0</v>
      </c>
      <c r="O737" s="598">
        <f t="shared" ref="O737:O742" si="294">IF(L737&gt;0,N737*100/L737,0)</f>
        <v>0</v>
      </c>
      <c r="P737" s="598">
        <f t="shared" ref="P737:P742" si="295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7">L741+L742</f>
        <v>0</v>
      </c>
      <c r="M740" s="598">
        <f t="shared" si="297"/>
        <v>0</v>
      </c>
      <c r="N740" s="598">
        <f t="shared" si="297"/>
        <v>0</v>
      </c>
      <c r="O740" s="598">
        <f t="shared" si="294"/>
        <v>0</v>
      </c>
      <c r="P740" s="598">
        <f t="shared" si="295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8">L748+L749</f>
        <v>0</v>
      </c>
      <c r="M747" s="598">
        <f t="shared" si="298"/>
        <v>0</v>
      </c>
      <c r="N747" s="598">
        <f t="shared" si="298"/>
        <v>0</v>
      </c>
      <c r="O747" s="598">
        <f t="shared" ref="O747:O749" si="299">IF(L747&gt;0,N747*100/L747,0)</f>
        <v>0</v>
      </c>
      <c r="P747" s="598">
        <f t="shared" ref="P747:P749" si="300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1">L755+L756</f>
        <v>0</v>
      </c>
      <c r="M754" s="598">
        <f t="shared" si="301"/>
        <v>0</v>
      </c>
      <c r="N754" s="598">
        <f t="shared" si="301"/>
        <v>0</v>
      </c>
      <c r="O754" s="598">
        <f t="shared" ref="O754:O759" si="302">IF(L754&gt;0,N754*100/L754,0)</f>
        <v>0</v>
      </c>
      <c r="P754" s="598">
        <f t="shared" ref="P754:P759" si="303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5">L758+L759</f>
        <v>0</v>
      </c>
      <c r="M757" s="598">
        <f t="shared" si="305"/>
        <v>0</v>
      </c>
      <c r="N757" s="598">
        <f t="shared" si="305"/>
        <v>0</v>
      </c>
      <c r="O757" s="598">
        <f t="shared" si="302"/>
        <v>0</v>
      </c>
      <c r="P757" s="598">
        <f t="shared" si="303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6">L765+L766</f>
        <v>0</v>
      </c>
      <c r="M764" s="598">
        <f t="shared" si="306"/>
        <v>0</v>
      </c>
      <c r="N764" s="598">
        <f t="shared" si="306"/>
        <v>0</v>
      </c>
      <c r="O764" s="598">
        <f t="shared" ref="O764:O766" si="307">IF(L764&gt;0,N764*100/L764,0)</f>
        <v>0</v>
      </c>
      <c r="P764" s="598">
        <f t="shared" ref="P764:P766" si="308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09">L771+L772</f>
        <v>0</v>
      </c>
      <c r="M770" s="598">
        <f t="shared" si="309"/>
        <v>0</v>
      </c>
      <c r="N770" s="598">
        <f t="shared" si="309"/>
        <v>0</v>
      </c>
      <c r="O770" s="598">
        <f t="shared" ref="O770:O775" si="310">IF(L770&gt;0,N770*100/L770,0)</f>
        <v>0</v>
      </c>
      <c r="P770" s="598">
        <f t="shared" ref="P770:P775" si="311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3">L774+L775</f>
        <v>0</v>
      </c>
      <c r="M773" s="598">
        <f t="shared" si="313"/>
        <v>0</v>
      </c>
      <c r="N773" s="598">
        <f t="shared" si="313"/>
        <v>0</v>
      </c>
      <c r="O773" s="598">
        <f t="shared" si="310"/>
        <v>0</v>
      </c>
      <c r="P773" s="598">
        <f t="shared" si="311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4">L781+L782</f>
        <v>0</v>
      </c>
      <c r="M780" s="598">
        <f t="shared" si="314"/>
        <v>0</v>
      </c>
      <c r="N780" s="598">
        <f t="shared" si="314"/>
        <v>0</v>
      </c>
      <c r="O780" s="598">
        <f t="shared" ref="O780:O782" si="315">IF(L780&gt;0,N780*100/L780,0)</f>
        <v>0</v>
      </c>
      <c r="P780" s="598">
        <f t="shared" ref="P780:P782" si="316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7">I800</f>
        <v>0</v>
      </c>
      <c r="J785" s="825">
        <f t="shared" ca="1" si="317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IFERROR(__xludf.DUMMYFUNCTION("IMPORTRANGE(""https://docs.google.com/spreadsheets/d/1QqKyyYR6Q21VydFLVH3TRQUabQu_ym0Zz7PgGX0-kHA/edit?usp=sharing"",""แผน!JJ64"")"),0)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IFERROR(__xludf.DUMMYFUNCTION("IMPORTRANGE(""https://docs.google.com/spreadsheets/d/1QqKyyYR6Q21VydFLVH3TRQUabQu_ym0Zz7PgGX0-kHA/edit?usp=sharing"",""แผน!JN64"")"),0)</f>
        <v>0</v>
      </c>
      <c r="J800" s="161">
        <f ca="1">IFERROR(__xludf.DUMMYFUNCTION("IMPORTRANGE(""https://docs.google.com/spreadsheets/d/1MaWodYyGHDf7siQLGxnXhG4mBNTNIuy296niS2xXulU/edit?usp=sharing"",""RTK!H64"")"),0)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IFERROR(__xludf.DUMMYFUNCTION("IMPORTRANGE(""https://docs.google.com/spreadsheets/d/1MaWodYyGHDf7siQLGxnXhG4mBNTNIuy296niS2xXulU/edit?usp=sharing"",""RTK!I64"")"),0)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6">L806+L807</f>
        <v>0</v>
      </c>
      <c r="M805" s="598">
        <f t="shared" si="326"/>
        <v>0</v>
      </c>
      <c r="N805" s="598">
        <f t="shared" si="326"/>
        <v>0</v>
      </c>
      <c r="O805" s="598">
        <f t="shared" ref="O805:O810" si="327">IF(L805&gt;0,N805*100/L805,0)</f>
        <v>0</v>
      </c>
      <c r="P805" s="598">
        <f t="shared" ref="P805:P810" si="328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0">L809+L810</f>
        <v>0</v>
      </c>
      <c r="M808" s="598">
        <f t="shared" si="330"/>
        <v>0</v>
      </c>
      <c r="N808" s="598">
        <f t="shared" si="330"/>
        <v>0</v>
      </c>
      <c r="O808" s="598">
        <f t="shared" si="327"/>
        <v>0</v>
      </c>
      <c r="P808" s="598">
        <f t="shared" si="328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1">L816+L817</f>
        <v>0</v>
      </c>
      <c r="M815" s="598">
        <f t="shared" si="331"/>
        <v>0</v>
      </c>
      <c r="N815" s="598">
        <f t="shared" si="331"/>
        <v>0</v>
      </c>
      <c r="O815" s="598">
        <f t="shared" ref="O815:O817" si="332">IF(L815&gt;0,N815*100/L815,0)</f>
        <v>0</v>
      </c>
      <c r="P815" s="598">
        <f t="shared" ref="P815:P817" si="333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37">
        <f ca="1">IFERROR(__xludf.DUMMYFUNCTION("IMPORTRANGE(""https://docs.google.com/spreadsheets/d/19vJNZY_5yjcGF2XGBMNZRCAIB0Kwfpjp8YEOfu-bneM/edit?usp=sharing"",""งานกองทุน!F64"")"),1541830.2)</f>
        <v>1541830.2</v>
      </c>
      <c r="K821" s="38">
        <f t="shared" ref="K821:K828" ca="1" si="334">IF(I821&gt;0,J821*100/I821,0)</f>
        <v>74.870106454484798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IFERROR(__xludf.DUMMYFUNCTION("IMPORTRANGE(""https://docs.google.com/spreadsheets/d/19vJNZY_5yjcGF2XGBMNZRCAIB0Kwfpjp8YEOfu-bneM/edit?usp=sharing"",""งานกองทุน!C64"")"),110)</f>
        <v>110</v>
      </c>
      <c r="J822" s="37">
        <f ca="1">IFERROR(__xludf.DUMMYFUNCTION("IMPORTRANGE(""https://docs.google.com/spreadsheets/d/19vJNZY_5yjcGF2XGBMNZRCAIB0Kwfpjp8YEOfu-bneM/edit?usp=sharing"",""งานกองทุน!E64"")"),73)</f>
        <v>73</v>
      </c>
      <c r="K822" s="38">
        <f t="shared" ca="1" si="334"/>
        <v>66.36363636363636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37">
        <f ca="1">IFERROR(__xludf.DUMMYFUNCTION("IMPORTRANGE(""https://docs.google.com/spreadsheets/d/19vJNZY_5yjcGF2XGBMNZRCAIB0Kwfpjp8YEOfu-bneM/edit?usp=sharing"",""งานกองทุน!K64"")"),1883891.01)</f>
        <v>1883891.01</v>
      </c>
      <c r="K823" s="38">
        <f t="shared" ca="1" si="334"/>
        <v>31.007697620720226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IFERROR(__xludf.DUMMYFUNCTION("IMPORTRANGE(""https://docs.google.com/spreadsheets/d/19vJNZY_5yjcGF2XGBMNZRCAIB0Kwfpjp8YEOfu-bneM/edit?usp=sharing"",""งานกองทุน!H64"")"),205)</f>
        <v>205</v>
      </c>
      <c r="J824" s="37">
        <f ca="1">IFERROR(__xludf.DUMMYFUNCTION("IMPORTRANGE(""https://docs.google.com/spreadsheets/d/19vJNZY_5yjcGF2XGBMNZRCAIB0Kwfpjp8YEOfu-bneM/edit?usp=sharing"",""งานกองทุน!J64"")"),111)</f>
        <v>111</v>
      </c>
      <c r="K824" s="38">
        <f t="shared" ca="1" si="334"/>
        <v>54.146341463414636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37">
        <f ca="1">IFERROR(__xludf.DUMMYFUNCTION("IMPORTRANGE(""https://docs.google.com/spreadsheets/d/19vJNZY_5yjcGF2XGBMNZRCAIB0Kwfpjp8YEOfu-bneM/edit?usp=sharing"",""งานกองทุน!P64"")"),571929.76)</f>
        <v>571929.76</v>
      </c>
      <c r="K825" s="38">
        <f t="shared" ca="1" si="334"/>
        <v>39.514061610457389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IFERROR(__xludf.DUMMYFUNCTION("IMPORTRANGE(""https://docs.google.com/spreadsheets/d/19vJNZY_5yjcGF2XGBMNZRCAIB0Kwfpjp8YEOfu-bneM/edit?usp=sharing"",""งานกองทุน!M64"")"),1449)</f>
        <v>1449</v>
      </c>
      <c r="J826" s="37">
        <f ca="1">IFERROR(__xludf.DUMMYFUNCTION("IMPORTRANGE(""https://docs.google.com/spreadsheets/d/19vJNZY_5yjcGF2XGBMNZRCAIB0Kwfpjp8YEOfu-bneM/edit?usp=sharing"",""งานกองทุน!O64"")"),1245)</f>
        <v>1245</v>
      </c>
      <c r="K826" s="38">
        <f t="shared" ca="1" si="334"/>
        <v>85.921325051759837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IFERROR(__xludf.DUMMYFUNCTION("IMPORTRANGE(""https://docs.google.com/spreadsheets/d/19vJNZY_5yjcGF2XGBMNZRCAIB0Kwfpjp8YEOfu-bneM/edit?usp=sharing"",""งานกองทุน!S64"")"),8180000)</f>
        <v>8180000</v>
      </c>
      <c r="J827" s="37">
        <f ca="1">IFERROR(__xludf.DUMMYFUNCTION("IMPORTRANGE(""https://docs.google.com/spreadsheets/d/19vJNZY_5yjcGF2XGBMNZRCAIB0Kwfpjp8YEOfu-bneM/edit?usp=sharing"",""งานกองทุน!U64"")"),5960000)</f>
        <v>5960000</v>
      </c>
      <c r="K827" s="38">
        <f t="shared" ca="1" si="334"/>
        <v>72.860635696821518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IFERROR(__xludf.DUMMYFUNCTION("IMPORTRANGE(""https://docs.google.com/spreadsheets/d/19vJNZY_5yjcGF2XGBMNZRCAIB0Kwfpjp8YEOfu-bneM/edit?usp=sharing"",""งานกองทุน!R64"")"),327)</f>
        <v>327</v>
      </c>
      <c r="J828" s="365">
        <f ca="1">IFERROR(__xludf.DUMMYFUNCTION("IMPORTRANGE(""https://docs.google.com/spreadsheets/d/19vJNZY_5yjcGF2XGBMNZRCAIB0Kwfpjp8YEOfu-bneM/edit?usp=sharing"",""งานกองทุน!T64"")"),131)</f>
        <v>131</v>
      </c>
      <c r="K828" s="472">
        <f t="shared" ca="1" si="334"/>
        <v>40.061162079510702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7A031-BB68-454D-B237-187E7B41AD2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1" width="15.36328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352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2832876.2800000003</v>
      </c>
      <c r="N8" s="22">
        <f t="shared" ca="1" si="0"/>
        <v>2183207.0300000003</v>
      </c>
      <c r="O8" s="22">
        <f t="shared" ref="O8:O16" ca="1" si="1">IF(L8&gt;0,N8*100/L8,0)</f>
        <v>81.017864544890159</v>
      </c>
      <c r="P8" s="22">
        <f t="shared" ref="P8:P16" ca="1" si="2">IF(M8&gt;0,N8*100/M8,0)</f>
        <v>77.066797636499686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2832876.2800000003</v>
      </c>
      <c r="N10" s="30">
        <f t="shared" ca="1" si="3"/>
        <v>2183207.0300000003</v>
      </c>
      <c r="O10" s="30">
        <f t="shared" ca="1" si="1"/>
        <v>81.017864544890159</v>
      </c>
      <c r="P10" s="30">
        <f t="shared" ca="1" si="2"/>
        <v>77.066797636499686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2620823</v>
      </c>
      <c r="M11" s="38">
        <f t="shared" ca="1" si="4"/>
        <v>2758976.2800000003</v>
      </c>
      <c r="N11" s="38">
        <f t="shared" ca="1" si="4"/>
        <v>2109307.0300000003</v>
      </c>
      <c r="O11" s="38">
        <f t="shared" ca="1" si="1"/>
        <v>80.482620535610394</v>
      </c>
      <c r="P11" s="38">
        <f t="shared" ca="1" si="2"/>
        <v>76.452524992349709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2620823</v>
      </c>
      <c r="M13" s="45">
        <f t="shared" ca="1" si="5"/>
        <v>2758976.2800000003</v>
      </c>
      <c r="N13" s="45">
        <f t="shared" ca="1" si="5"/>
        <v>2109307.0300000003</v>
      </c>
      <c r="O13" s="45">
        <f t="shared" ca="1" si="1"/>
        <v>80.482620535610394</v>
      </c>
      <c r="P13" s="45">
        <f t="shared" ca="1" si="2"/>
        <v>76.452524992349709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73900</v>
      </c>
      <c r="M14" s="38">
        <f t="shared" ca="1" si="6"/>
        <v>73900</v>
      </c>
      <c r="N14" s="38">
        <f t="shared" ca="1" si="6"/>
        <v>73900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2333963.2800000003</v>
      </c>
      <c r="N18" s="22">
        <f t="shared" ca="1" si="8"/>
        <v>1959339.03</v>
      </c>
      <c r="O18" s="22">
        <f t="shared" ref="O18:O26" ca="1" si="9">IF(L18&gt;0,N18*100/L18,0)</f>
        <v>89.230809131937647</v>
      </c>
      <c r="P18" s="22">
        <f t="shared" ref="P18:P26" ca="1" si="10">IF(M18&gt;0,N18*100/M18,0)</f>
        <v>83.949008400851952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2333963.2800000003</v>
      </c>
      <c r="N20" s="30">
        <f t="shared" ca="1" si="11"/>
        <v>1959339.03</v>
      </c>
      <c r="O20" s="30">
        <f t="shared" ca="1" si="9"/>
        <v>89.230809131937647</v>
      </c>
      <c r="P20" s="30">
        <f t="shared" ca="1" si="10"/>
        <v>83.949008400851952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2121910</v>
      </c>
      <c r="M21" s="38">
        <f t="shared" ca="1" si="12"/>
        <v>2260063.2800000003</v>
      </c>
      <c r="N21" s="38">
        <f t="shared" ca="1" si="12"/>
        <v>1885439.03</v>
      </c>
      <c r="O21" s="38">
        <f t="shared" ca="1" si="9"/>
        <v>88.855749301336999</v>
      </c>
      <c r="P21" s="38">
        <f t="shared" ca="1" si="10"/>
        <v>83.424169875455874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2121910</v>
      </c>
      <c r="M23" s="45">
        <f t="shared" ca="1" si="13"/>
        <v>2260063.2800000003</v>
      </c>
      <c r="N23" s="45">
        <f t="shared" ca="1" si="13"/>
        <v>1885439.03</v>
      </c>
      <c r="O23" s="45">
        <f t="shared" ca="1" si="9"/>
        <v>88.855749301336999</v>
      </c>
      <c r="P23" s="45">
        <f t="shared" ca="1" si="10"/>
        <v>83.424169875455874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73900</v>
      </c>
      <c r="M24" s="38">
        <f t="shared" ca="1" si="14"/>
        <v>73900</v>
      </c>
      <c r="N24" s="38">
        <f t="shared" ca="1" si="14"/>
        <v>73900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498913</v>
      </c>
      <c r="M31" s="38">
        <f t="shared" ca="1" si="20"/>
        <v>498913</v>
      </c>
      <c r="N31" s="38">
        <f t="shared" si="20"/>
        <v>223868</v>
      </c>
      <c r="O31" s="38">
        <f t="shared" ca="1" si="17"/>
        <v>44.871149879838768</v>
      </c>
      <c r="P31" s="38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498913</v>
      </c>
      <c r="M33" s="45">
        <f t="shared" ca="1" si="21"/>
        <v>498913</v>
      </c>
      <c r="N33" s="45">
        <f t="shared" si="21"/>
        <v>223868</v>
      </c>
      <c r="O33" s="45">
        <f t="shared" ca="1" si="17"/>
        <v>44.871149879838768</v>
      </c>
      <c r="P33" s="45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2333963.2800000003</v>
      </c>
      <c r="N37" s="59">
        <f t="shared" ca="1" si="24"/>
        <v>1959339.03</v>
      </c>
      <c r="O37" s="59">
        <f t="shared" ca="1" si="17"/>
        <v>89.230809131937647</v>
      </c>
      <c r="P37" s="59">
        <f t="shared" ca="1" si="18"/>
        <v>83.949008400851952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369613.28</v>
      </c>
      <c r="N41" s="85">
        <f t="shared" ca="1" si="25"/>
        <v>289720</v>
      </c>
      <c r="O41" s="85">
        <f t="shared" ref="O41:O49" ca="1" si="26">IF(L41&gt;0,N41*100/L41,0)</f>
        <v>81.58828499014362</v>
      </c>
      <c r="P41" s="85">
        <f t="shared" ref="P41:P49" ca="1" si="27">IF(M41&gt;0,N41*100/M41,0)</f>
        <v>78.38462947002337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369613.28</v>
      </c>
      <c r="N43" s="92">
        <f t="shared" ca="1" si="28"/>
        <v>289720</v>
      </c>
      <c r="O43" s="92">
        <f t="shared" ca="1" si="26"/>
        <v>81.58828499014362</v>
      </c>
      <c r="P43" s="92">
        <f t="shared" ca="1" si="27"/>
        <v>78.38462947002337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355100</v>
      </c>
      <c r="M44" s="38">
        <f t="shared" ca="1" si="29"/>
        <v>369613.28</v>
      </c>
      <c r="N44" s="38">
        <f t="shared" ca="1" si="29"/>
        <v>289720</v>
      </c>
      <c r="O44" s="38">
        <f t="shared" ca="1" si="26"/>
        <v>81.58828499014362</v>
      </c>
      <c r="P44" s="38">
        <f t="shared" ca="1" si="27"/>
        <v>78.38462947002337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IFERROR(__xludf.DUMMYFUNCTION("IMPORTRANGE(""https://docs.google.com/spreadsheets/d/1MeEWN-I1oV_STSDYn1IFDPWt_1FKiwhDph83XaGc0o0/edit?usp=sharing"",""งบพรบ!M65"")"),355100)</f>
        <v>355100</v>
      </c>
      <c r="M46" s="45">
        <f ca="1">IFERROR(__xludf.DUMMYFUNCTION("IMPORTRANGE(""https://docs.google.com/spreadsheets/d/1MeEWN-I1oV_STSDYn1IFDPWt_1FKiwhDph83XaGc0o0/edit?usp=sharing"",""งบพรบ!R65"")"),369613.28)</f>
        <v>369613.28</v>
      </c>
      <c r="N46" s="45">
        <f ca="1">IFERROR(__xludf.DUMMYFUNCTION("IMPORTRANGE(""https://docs.google.com/spreadsheets/d/1MeEWN-I1oV_STSDYn1IFDPWt_1FKiwhDph83XaGc0o0/edit?usp=sharing"",""งบพรบ!T65"")"),289720)</f>
        <v>289720</v>
      </c>
      <c r="O46" s="45">
        <f t="shared" ca="1" si="26"/>
        <v>81.58828499014362</v>
      </c>
      <c r="P46" s="45">
        <f t="shared" ca="1" si="27"/>
        <v>78.38462947002337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714600</v>
      </c>
      <c r="M53" s="115">
        <f t="shared" ca="1" si="31"/>
        <v>771220</v>
      </c>
      <c r="N53" s="115">
        <f t="shared" ca="1" si="31"/>
        <v>689373.39</v>
      </c>
      <c r="O53" s="115">
        <f t="shared" ref="O53:O61" ca="1" si="32">IF(L53&gt;0,N53*100/L53,0)</f>
        <v>96.46982787573468</v>
      </c>
      <c r="P53" s="115">
        <f t="shared" ref="P53:P61" ca="1" si="33">IF(M53&gt;0,N53*100/M53,0)</f>
        <v>89.387384922590186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714600</v>
      </c>
      <c r="M55" s="122">
        <f t="shared" ca="1" si="34"/>
        <v>771220</v>
      </c>
      <c r="N55" s="122">
        <f t="shared" ca="1" si="34"/>
        <v>689373.39</v>
      </c>
      <c r="O55" s="122">
        <f t="shared" ca="1" si="32"/>
        <v>96.46982787573468</v>
      </c>
      <c r="P55" s="122">
        <f t="shared" ca="1" si="33"/>
        <v>89.387384922590186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686700</v>
      </c>
      <c r="M56" s="38">
        <f t="shared" ca="1" si="35"/>
        <v>743320</v>
      </c>
      <c r="N56" s="38">
        <f t="shared" ca="1" si="35"/>
        <v>661473.39</v>
      </c>
      <c r="O56" s="38">
        <f t="shared" ca="1" si="32"/>
        <v>96.326400174748798</v>
      </c>
      <c r="P56" s="38">
        <f t="shared" ca="1" si="33"/>
        <v>88.989047785610509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IFERROR(__xludf.DUMMYFUNCTION("IMPORTRANGE(""https://docs.google.com/spreadsheets/d/1MeEWN-I1oV_STSDYn1IFDPWt_1FKiwhDph83XaGc0o0/edit?usp=sharing"",""งบพรบ!W65"")"),686700)</f>
        <v>686700</v>
      </c>
      <c r="M58" s="45">
        <f ca="1">IFERROR(__xludf.DUMMYFUNCTION("IMPORTRANGE(""https://docs.google.com/spreadsheets/d/1MeEWN-I1oV_STSDYn1IFDPWt_1FKiwhDph83XaGc0o0/edit?usp=sharing"",""งบพรบ!AB65"")"),743320)</f>
        <v>743320</v>
      </c>
      <c r="N58" s="45">
        <f ca="1">IFERROR(__xludf.DUMMYFUNCTION("IMPORTRANGE(""https://docs.google.com/spreadsheets/d/1MeEWN-I1oV_STSDYn1IFDPWt_1FKiwhDph83XaGc0o0/edit?usp=sharing"",""งบพรบ!AD65"")"),661473.39)</f>
        <v>661473.39</v>
      </c>
      <c r="O58" s="45">
        <f t="shared" ca="1" si="32"/>
        <v>96.326400174748798</v>
      </c>
      <c r="P58" s="45">
        <f t="shared" ca="1" si="33"/>
        <v>88.989047785610509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27900</v>
      </c>
      <c r="M59" s="38">
        <f t="shared" ca="1" si="36"/>
        <v>27900</v>
      </c>
      <c r="N59" s="38">
        <f t="shared" ca="1" si="36"/>
        <v>27900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IFERROR(__xludf.DUMMYFUNCTION("IMPORTRANGE(""https://docs.google.com/spreadsheets/d/1MeEWN-I1oV_STSDYn1IFDPWt_1FKiwhDph83XaGc0o0/edit?usp=sharing"",""งบพรบ!AG65"")"),0)</f>
        <v>0</v>
      </c>
      <c r="M71" s="45">
        <f ca="1">IFERROR(__xludf.DUMMYFUNCTION("IMPORTRANGE(""https://docs.google.com/spreadsheets/d/1MeEWN-I1oV_STSDYn1IFDPWt_1FKiwhDph83XaGc0o0/edit?usp=sharing"",""งบพรบ!AL65"")"),0)</f>
        <v>0</v>
      </c>
      <c r="N71" s="45">
        <f ca="1">IFERROR(__xludf.DUMMYFUNCTION("IMPORTRANGE(""https://docs.google.com/spreadsheets/d/1MeEWN-I1oV_STSDYn1IFDPWt_1FKiwhDph83XaGc0o0/edit?usp=sharing"",""งบพรบ!AN65"")"),0)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IFERROR(__xludf.DUMMYFUNCTION("IMPORTRANGE(""https://docs.google.com/spreadsheets/d/1MeEWN-I1oV_STSDYn1IFDPWt_1FKiwhDph83XaGc0o0/edit?usp=sharing"",""งบพรบ!AJ65"")"),0)</f>
        <v>0</v>
      </c>
      <c r="M74" s="45">
        <f ca="1">IFERROR(__xludf.DUMMYFUNCTION("IMPORTRANGE(""https://docs.google.com/spreadsheets/d/1MeEWN-I1oV_STSDYn1IFDPWt_1FKiwhDph83XaGc0o0/edit?usp=sharing"",""งบพรบ!AM65"")"),0)</f>
        <v>0</v>
      </c>
      <c r="N74" s="45">
        <f ca="1">IFERROR(__xludf.DUMMYFUNCTION("IMPORTRANGE(""https://docs.google.com/spreadsheets/d/1MeEWN-I1oV_STSDYn1IFDPWt_1FKiwhDph83XaGc0o0/edit?usp=sharing"",""งบพรบ!AO65"")"),0)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IFERROR(__xludf.DUMMYFUNCTION("IMPORTRANGE(""https://docs.google.com/spreadsheets/d/1QqKyyYR6Q21VydFLVH3TRQUabQu_ym0Zz7PgGX0-kHA/edit?usp=sharing"",""แผน!D65"")"),0)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IFERROR(__xludf.DUMMYFUNCTION("IMPORTRANGE(""https://docs.google.com/spreadsheets/d/1QqKyyYR6Q21VydFLVH3TRQUabQu_ym0Zz7PgGX0-kHA/edit?usp=sharing"",""แผน!E65"")"),0)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IFERROR(__xludf.DUMMYFUNCTION("IMPORTRANGE(""https://docs.google.com/spreadsheets/d/1QqKyyYR6Q21VydFLVH3TRQUabQu_ym0Zz7PgGX0-kHA/edit?usp=sharing"",""แผน!J65"")"),0)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397480</v>
      </c>
      <c r="M88" s="154">
        <f t="shared" ca="1" si="49"/>
        <v>397480</v>
      </c>
      <c r="N88" s="154">
        <f t="shared" ca="1" si="49"/>
        <v>354806.14</v>
      </c>
      <c r="O88" s="154">
        <f t="shared" ref="O88:O96" ca="1" si="50">IF(L88&gt;0,N88*100/L88,0)</f>
        <v>89.263897554593939</v>
      </c>
      <c r="P88" s="154">
        <f t="shared" ref="P88:P96" ca="1" si="51">IF(M88&gt;0,N88*100/M88,0)</f>
        <v>89.263897554593939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397480</v>
      </c>
      <c r="M90" s="45">
        <f t="shared" ca="1" si="52"/>
        <v>397480</v>
      </c>
      <c r="N90" s="45">
        <f t="shared" ca="1" si="52"/>
        <v>354806.14</v>
      </c>
      <c r="O90" s="45">
        <f t="shared" ca="1" si="50"/>
        <v>89.263897554593939</v>
      </c>
      <c r="P90" s="45">
        <f t="shared" ca="1" si="51"/>
        <v>89.263897554593939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397480</v>
      </c>
      <c r="M91" s="38">
        <f t="shared" ca="1" si="53"/>
        <v>397480</v>
      </c>
      <c r="N91" s="38">
        <f t="shared" ca="1" si="53"/>
        <v>354806.14</v>
      </c>
      <c r="O91" s="38">
        <f t="shared" ca="1" si="50"/>
        <v>89.263897554593939</v>
      </c>
      <c r="P91" s="38">
        <f t="shared" ca="1" si="51"/>
        <v>89.263897554593939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IFERROR(__xludf.DUMMYFUNCTION("IMPORTRANGE(""https://docs.google.com/spreadsheets/d/1MeEWN-I1oV_STSDYn1IFDPWt_1FKiwhDph83XaGc0o0/edit?usp=sharing"",""งบพรบ!AQ65"")"),397480)</f>
        <v>397480</v>
      </c>
      <c r="M93" s="45">
        <f ca="1">IFERROR(__xludf.DUMMYFUNCTION("IMPORTRANGE(""https://docs.google.com/spreadsheets/d/1MeEWN-I1oV_STSDYn1IFDPWt_1FKiwhDph83XaGc0o0/edit?usp=sharing"",""งบพรบ!AV65"")"),397480)</f>
        <v>397480</v>
      </c>
      <c r="N93" s="45">
        <f ca="1">IFERROR(__xludf.DUMMYFUNCTION("IMPORTRANGE(""https://docs.google.com/spreadsheets/d/1MeEWN-I1oV_STSDYn1IFDPWt_1FKiwhDph83XaGc0o0/edit?usp=sharing"",""งบพรบ!AX65"")"),354806.14)</f>
        <v>354806.14</v>
      </c>
      <c r="O93" s="45">
        <f t="shared" ca="1" si="50"/>
        <v>89.263897554593939</v>
      </c>
      <c r="P93" s="45">
        <f t="shared" ca="1" si="51"/>
        <v>89.263897554593939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IFERROR(__xludf.DUMMYFUNCTION("IMPORTRANGE(""https://docs.google.com/spreadsheets/d/1MeEWN-I1oV_STSDYn1IFDPWt_1FKiwhDph83XaGc0o0/edit?usp=sharing"",""งบพรบ!AT65"")"),0)</f>
        <v>0</v>
      </c>
      <c r="M96" s="45">
        <f ca="1">IFERROR(__xludf.DUMMYFUNCTION("IMPORTRANGE(""https://docs.google.com/spreadsheets/d/1MeEWN-I1oV_STSDYn1IFDPWt_1FKiwhDph83XaGc0o0/edit?usp=sharing"",""งบพรบ!AW65"")"),0)</f>
        <v>0</v>
      </c>
      <c r="N96" s="45">
        <f ca="1">IFERROR(__xludf.DUMMYFUNCTION("IMPORTRANGE(""https://docs.google.com/spreadsheets/d/1MeEWN-I1oV_STSDYn1IFDPWt_1FKiwhDph83XaGc0o0/edit?usp=sharing"",""งบพรบ!AY65"")"),0)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IFERROR(__xludf.DUMMYFUNCTION("IMPORTRANGE(""https://docs.google.com/spreadsheets/d/1QqKyyYR6Q21VydFLVH3TRQUabQu_ym0Zz7PgGX0-kHA/edit?usp=sharing"",""แผน!K65"")"),60)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IFERROR(__xludf.DUMMYFUNCTION("IMPORTRANGE(""https://docs.google.com/spreadsheets/d/1QqKyyYR6Q21VydFLVH3TRQUabQu_ym0Zz7PgGX0-kHA/edit?usp=sharing"",""แผน!L65"")"),20)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IFERROR(__xludf.DUMMYFUNCTION("IMPORTRANGE(""https://docs.google.com/spreadsheets/d/1QqKyyYR6Q21VydFLVH3TRQUabQu_ym0Zz7PgGX0-kHA/edit?usp=sharing"",""แผน!M65"")"),2)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IFERROR(__xludf.DUMMYFUNCTION("IMPORTRANGE(""https://docs.google.com/spreadsheets/d/1QqKyyYR6Q21VydFLVH3TRQUabQu_ym0Zz7PgGX0-kHA/edit?usp=sharing"",""แผน!N65"")"),60)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IFERROR(__xludf.DUMMYFUNCTION("IMPORTRANGE(""https://docs.google.com/spreadsheets/d/1QqKyyYR6Q21VydFLVH3TRQUabQu_ym0Zz7PgGX0-kHA/edit?usp=sharing"",""แผน!O65"")"),20)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IFERROR(__xludf.DUMMYFUNCTION("IMPORTRANGE(""https://docs.google.com/spreadsheets/d/1QqKyyYR6Q21VydFLVH3TRQUabQu_ym0Zz7PgGX0-kHA/edit?usp=sharing"",""แผน!O65"")"),20)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IFERROR(__xludf.DUMMYFUNCTION("IMPORTRANGE(""https://docs.google.com/spreadsheets/d/1QqKyyYR6Q21VydFLVH3TRQUabQu_ym0Zz7PgGX0-kHA/edit?usp=sharing"",""แผน!Q65"")"),1)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IFERROR(__xludf.DUMMYFUNCTION("IMPORTRANGE(""https://docs.google.com/spreadsheets/d/1QqKyyYR6Q21VydFLVH3TRQUabQu_ym0Zz7PgGX0-kHA/edit?usp=sharing"",""แผน!Q65"")"),1)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IFERROR(__xludf.DUMMYFUNCTION("IMPORTRANGE(""https://docs.google.com/spreadsheets/d/1QqKyyYR6Q21VydFLVH3TRQUabQu_ym0Zz7PgGX0-kHA/edit?usp=sharing"",""แผน!R65"")"),20)</f>
        <v>20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IFERROR(__xludf.DUMMYFUNCTION("IMPORTRANGE(""https://docs.google.com/spreadsheets/d/1QqKyyYR6Q21VydFLVH3TRQUabQu_ym0Zz7PgGX0-kHA/edit?usp=sharing"",""แผน!R65"")"),20)</f>
        <v>20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IFERROR(__xludf.DUMMYFUNCTION("IMPORTRANGE(""https://docs.google.com/spreadsheets/d/1QqKyyYR6Q21VydFLVH3TRQUabQu_ym0Zz7PgGX0-kHA/edit?usp=sharing"",""แผน!R65"")"),20)</f>
        <v>20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IFERROR(__xludf.DUMMYFUNCTION("IMPORTRANGE(""https://docs.google.com/spreadsheets/d/1QqKyyYR6Q21VydFLVH3TRQUabQu_ym0Zz7PgGX0-kHA/edit?usp=sharing"",""แผน!S65"")"),1)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IFERROR(__xludf.DUMMYFUNCTION("IMPORTRANGE(""https://docs.google.com/spreadsheets/d/1QqKyyYR6Q21VydFLVH3TRQUabQu_ym0Zz7PgGX0-kHA/edit?usp=sharing"",""แผน!T65"")"),1)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IFERROR(__xludf.DUMMYFUNCTION("IMPORTRANGE(""https://docs.google.com/spreadsheets/d/1MeEWN-I1oV_STSDYn1IFDPWt_1FKiwhDph83XaGc0o0/edit?usp=sharing"",""งบพรบ!BA65"")"),0)</f>
        <v>0</v>
      </c>
      <c r="M124" s="45">
        <f ca="1">IFERROR(__xludf.DUMMYFUNCTION("IMPORTRANGE(""https://docs.google.com/spreadsheets/d/1MeEWN-I1oV_STSDYn1IFDPWt_1FKiwhDph83XaGc0o0/edit?usp=sharing"",""งบพรบ!BF65"")"),0)</f>
        <v>0</v>
      </c>
      <c r="N124" s="45">
        <f ca="1">IFERROR(__xludf.DUMMYFUNCTION("IMPORTRANGE(""https://docs.google.com/spreadsheets/d/1MeEWN-I1oV_STSDYn1IFDPWt_1FKiwhDph83XaGc0o0/edit?usp=sharing"",""งบพรบ!BH65"")"),0)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IFERROR(__xludf.DUMMYFUNCTION("IMPORTRANGE(""https://docs.google.com/spreadsheets/d/1MeEWN-I1oV_STSDYn1IFDPWt_1FKiwhDph83XaGc0o0/edit?usp=sharing"",""งบพรบ!BD65"")"),0)</f>
        <v>0</v>
      </c>
      <c r="M127" s="45">
        <f ca="1">IFERROR(__xludf.DUMMYFUNCTION("IMPORTRANGE(""https://docs.google.com/spreadsheets/d/1MeEWN-I1oV_STSDYn1IFDPWt_1FKiwhDph83XaGc0o0/edit?usp=sharing"",""งบพรบ!BG65"")"),0)</f>
        <v>0</v>
      </c>
      <c r="N127" s="45">
        <f ca="1">IFERROR(__xludf.DUMMYFUNCTION("IMPORTRANGE(""https://docs.google.com/spreadsheets/d/1MeEWN-I1oV_STSDYn1IFDPWt_1FKiwhDph83XaGc0o0/edit?usp=sharing"",""งบพรบ!BI65"")"),0)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IFERROR(__xludf.DUMMYFUNCTION("IMPORTRANGE(""https://docs.google.com/spreadsheets/d/1MeEWN-I1oV_STSDYn1IFDPWt_1FKiwhDph83XaGc0o0/edit?usp=sharing"",""งบพรบ!BK65"")"),0)</f>
        <v>0</v>
      </c>
      <c r="M137" s="45">
        <f ca="1">IFERROR(__xludf.DUMMYFUNCTION("IMPORTRANGE(""https://docs.google.com/spreadsheets/d/1MeEWN-I1oV_STSDYn1IFDPWt_1FKiwhDph83XaGc0o0/edit?usp=sharing"",""งบพรบ!BP65"")"),0)</f>
        <v>0</v>
      </c>
      <c r="N137" s="45">
        <f ca="1">IFERROR(__xludf.DUMMYFUNCTION("IMPORTRANGE(""https://docs.google.com/spreadsheets/d/1MeEWN-I1oV_STSDYn1IFDPWt_1FKiwhDph83XaGc0o0/edit?usp=sharing"",""งบพรบ!BR65"")"),0)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IFERROR(__xludf.DUMMYFUNCTION("IMPORTRANGE(""https://docs.google.com/spreadsheets/d/1MeEWN-I1oV_STSDYn1IFDPWt_1FKiwhDph83XaGc0o0/edit?usp=sharing"",""งบพรบ!BN65"")"),0)</f>
        <v>0</v>
      </c>
      <c r="M140" s="45">
        <f ca="1">IFERROR(__xludf.DUMMYFUNCTION("IMPORTRANGE(""https://docs.google.com/spreadsheets/d/1MeEWN-I1oV_STSDYn1IFDPWt_1FKiwhDph83XaGc0o0/edit?usp=sharing"",""งบพรบ!BQ65"")"),0)</f>
        <v>0</v>
      </c>
      <c r="N140" s="45">
        <f ca="1">IFERROR(__xludf.DUMMYFUNCTION("IMPORTRANGE(""https://docs.google.com/spreadsheets/d/1MeEWN-I1oV_STSDYn1IFDPWt_1FKiwhDph83XaGc0o0/edit?usp=sharing"",""งบพรบ!BS65"")"),0)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IFERROR(__xludf.DUMMYFUNCTION("IMPORTRANGE(""https://docs.google.com/spreadsheets/d/1QqKyyYR6Q21VydFLVH3TRQUabQu_ym0Zz7PgGX0-kHA/edit?usp=sharing"",""แผน!U65"")"),0)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IFERROR(__xludf.DUMMYFUNCTION("IMPORTRANGE(""https://docs.google.com/spreadsheets/d/1QqKyyYR6Q21VydFLVH3TRQUabQu_ym0Zz7PgGX0-kHA/edit?usp=sharing"",""แผน!V65"")"),0)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IFERROR(__xludf.DUMMYFUNCTION("IMPORTRANGE(""https://docs.google.com/spreadsheets/d/1QqKyyYR6Q21VydFLVH3TRQUabQu_ym0Zz7PgGX0-kHA/edit?usp=sharing"",""แผน!W65"")"),0)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15</v>
      </c>
      <c r="J148" s="143">
        <f t="shared" si="76"/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7500</v>
      </c>
      <c r="M149" s="154">
        <f t="shared" ca="1" si="77"/>
        <v>7500</v>
      </c>
      <c r="N149" s="154">
        <f t="shared" ca="1" si="77"/>
        <v>4650</v>
      </c>
      <c r="O149" s="154">
        <f t="shared" ref="O149:O157" ca="1" si="78">IF(L149&gt;0,N149*100/L149,0)</f>
        <v>62</v>
      </c>
      <c r="P149" s="154">
        <f t="shared" ref="P149:P157" ca="1" si="79">IF(M149&gt;0,N149*100/M149,0)</f>
        <v>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7500</v>
      </c>
      <c r="M151" s="45">
        <f t="shared" ca="1" si="80"/>
        <v>7500</v>
      </c>
      <c r="N151" s="45">
        <f t="shared" ca="1" si="80"/>
        <v>4650</v>
      </c>
      <c r="O151" s="45">
        <f t="shared" ca="1" si="78"/>
        <v>62</v>
      </c>
      <c r="P151" s="45">
        <f t="shared" ca="1" si="79"/>
        <v>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7500</v>
      </c>
      <c r="M152" s="38">
        <f t="shared" ca="1" si="81"/>
        <v>7500</v>
      </c>
      <c r="N152" s="38">
        <f t="shared" ca="1" si="81"/>
        <v>4650</v>
      </c>
      <c r="O152" s="38">
        <f t="shared" ca="1" si="78"/>
        <v>62</v>
      </c>
      <c r="P152" s="38">
        <f t="shared" ca="1" si="79"/>
        <v>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IFERROR(__xludf.DUMMYFUNCTION("IMPORTRANGE(""https://docs.google.com/spreadsheets/d/1MeEWN-I1oV_STSDYn1IFDPWt_1FKiwhDph83XaGc0o0/edit?usp=sharing"",""งบพรบ!BU65"")"),7500)</f>
        <v>7500</v>
      </c>
      <c r="M154" s="45">
        <f ca="1">IFERROR(__xludf.DUMMYFUNCTION("IMPORTRANGE(""https://docs.google.com/spreadsheets/d/1MeEWN-I1oV_STSDYn1IFDPWt_1FKiwhDph83XaGc0o0/edit?usp=sharing"",""งบพรบ!BZ65"")"),7500)</f>
        <v>7500</v>
      </c>
      <c r="N154" s="45">
        <f ca="1">IFERROR(__xludf.DUMMYFUNCTION("IMPORTRANGE(""https://docs.google.com/spreadsheets/d/1MeEWN-I1oV_STSDYn1IFDPWt_1FKiwhDph83XaGc0o0/edit?usp=sharing"",""งบพรบ!CB65"")"),4650)</f>
        <v>4650</v>
      </c>
      <c r="O154" s="45">
        <f t="shared" ca="1" si="78"/>
        <v>62</v>
      </c>
      <c r="P154" s="45">
        <f t="shared" ca="1" si="79"/>
        <v>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IFERROR(__xludf.DUMMYFUNCTION("IMPORTRANGE(""https://docs.google.com/spreadsheets/d/1MeEWN-I1oV_STSDYn1IFDPWt_1FKiwhDph83XaGc0o0/edit?usp=sharing"",""งบพรบ!BX65"")"),0)</f>
        <v>0</v>
      </c>
      <c r="M157" s="45">
        <f ca="1">IFERROR(__xludf.DUMMYFUNCTION("IMPORTRANGE(""https://docs.google.com/spreadsheets/d/1MeEWN-I1oV_STSDYn1IFDPWt_1FKiwhDph83XaGc0o0/edit?usp=sharing"",""งบพรบ!CA65"")"),0)</f>
        <v>0</v>
      </c>
      <c r="N157" s="45">
        <f ca="1">IFERROR(__xludf.DUMMYFUNCTION("IMPORTRANGE(""https://docs.google.com/spreadsheets/d/1MeEWN-I1oV_STSDYn1IFDPWt_1FKiwhDph83XaGc0o0/edit?usp=sharing"",""งบพรบ!CC65"")"),0)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IFERROR(__xludf.DUMMYFUNCTION("IMPORTRANGE(""https://docs.google.com/spreadsheets/d/1QqKyyYR6Q21VydFLVH3TRQUabQu_ym0Zz7PgGX0-kHA/edit?usp=sharing"",""แผน!X65"")"),15)</f>
        <v>15</v>
      </c>
      <c r="J159" s="181">
        <v>15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31190</v>
      </c>
      <c r="N165" s="154">
        <f t="shared" ca="1" si="84"/>
        <v>31190</v>
      </c>
      <c r="O165" s="154">
        <f t="shared" ref="O165:O173" ca="1" si="85">IF(L165&gt;0,N165*100/L165,0)</f>
        <v>148.17102137767222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31190</v>
      </c>
      <c r="N167" s="45">
        <f t="shared" ca="1" si="87"/>
        <v>31190</v>
      </c>
      <c r="O167" s="45">
        <f t="shared" ca="1" si="85"/>
        <v>148.17102137767222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31190</v>
      </c>
      <c r="N168" s="38">
        <f t="shared" ca="1" si="88"/>
        <v>31190</v>
      </c>
      <c r="O168" s="38">
        <f t="shared" ca="1" si="85"/>
        <v>148.17102137767222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IFERROR(__xludf.DUMMYFUNCTION("IMPORTRANGE(""https://docs.google.com/spreadsheets/d/1MeEWN-I1oV_STSDYn1IFDPWt_1FKiwhDph83XaGc0o0/edit?usp=sharing"",""งบพรบ!CE65"")"),21050)</f>
        <v>21050</v>
      </c>
      <c r="M170" s="45">
        <f ca="1">IFERROR(__xludf.DUMMYFUNCTION("IMPORTRANGE(""https://docs.google.com/spreadsheets/d/1MeEWN-I1oV_STSDYn1IFDPWt_1FKiwhDph83XaGc0o0/edit?usp=sharing"",""งบพรบ!CJ65"")"),31190)</f>
        <v>31190</v>
      </c>
      <c r="N170" s="45">
        <f ca="1">IFERROR(__xludf.DUMMYFUNCTION("IMPORTRANGE(""https://docs.google.com/spreadsheets/d/1MeEWN-I1oV_STSDYn1IFDPWt_1FKiwhDph83XaGc0o0/edit?usp=sharing"",""งบพรบ!CL65"")"),31190)</f>
        <v>31190</v>
      </c>
      <c r="O170" s="45">
        <f t="shared" ca="1" si="85"/>
        <v>148.17102137767222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IFERROR(__xludf.DUMMYFUNCTION("IMPORTRANGE(""https://docs.google.com/spreadsheets/d/1MeEWN-I1oV_STSDYn1IFDPWt_1FKiwhDph83XaGc0o0/edit?usp=sharing"",""งบพรบ!CH65"")"),0)</f>
        <v>0</v>
      </c>
      <c r="M173" s="45">
        <f ca="1">IFERROR(__xludf.DUMMYFUNCTION("IMPORTRANGE(""https://docs.google.com/spreadsheets/d/1MeEWN-I1oV_STSDYn1IFDPWt_1FKiwhDph83XaGc0o0/edit?usp=sharing"",""งบพรบ!CK65"")"),0)</f>
        <v>0</v>
      </c>
      <c r="N173" s="45">
        <f ca="1">IFERROR(__xludf.DUMMYFUNCTION("IMPORTRANGE(""https://docs.google.com/spreadsheets/d/1MeEWN-I1oV_STSDYn1IFDPWt_1FKiwhDph83XaGc0o0/edit?usp=sharing"",""งบพรบ!CM65"")"),0)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IFERROR(__xludf.DUMMYFUNCTION("IMPORTRANGE(""https://docs.google.com/spreadsheets/d/1QqKyyYR6Q21VydFLVH3TRQUabQu_ym0Zz7PgGX0-kHA/edit?usp=sharing"",""แผน!Y65"")"),10)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45500</v>
      </c>
      <c r="M181" s="154">
        <f t="shared" ca="1" si="92"/>
        <v>45500</v>
      </c>
      <c r="N181" s="154">
        <f t="shared" ca="1" si="92"/>
        <v>31790</v>
      </c>
      <c r="O181" s="154">
        <f t="shared" ref="O181:O189" ca="1" si="93">IF(L181&gt;0,N181*100/L181,0)</f>
        <v>69.868131868131869</v>
      </c>
      <c r="P181" s="154">
        <f t="shared" ref="P181:P189" ca="1" si="94">IF(M181&gt;0,N181*100/M181,0)</f>
        <v>69.868131868131869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45500</v>
      </c>
      <c r="M183" s="45">
        <f t="shared" ca="1" si="95"/>
        <v>45500</v>
      </c>
      <c r="N183" s="45">
        <f t="shared" ca="1" si="95"/>
        <v>31790</v>
      </c>
      <c r="O183" s="45">
        <f t="shared" ca="1" si="93"/>
        <v>69.868131868131869</v>
      </c>
      <c r="P183" s="45">
        <f t="shared" ca="1" si="94"/>
        <v>69.868131868131869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45500</v>
      </c>
      <c r="M184" s="38">
        <f t="shared" ca="1" si="96"/>
        <v>45500</v>
      </c>
      <c r="N184" s="38">
        <f t="shared" ca="1" si="96"/>
        <v>31790</v>
      </c>
      <c r="O184" s="38">
        <f t="shared" ca="1" si="93"/>
        <v>69.868131868131869</v>
      </c>
      <c r="P184" s="38">
        <f t="shared" ca="1" si="94"/>
        <v>69.868131868131869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IFERROR(__xludf.DUMMYFUNCTION("IMPORTRANGE(""https://docs.google.com/spreadsheets/d/1MeEWN-I1oV_STSDYn1IFDPWt_1FKiwhDph83XaGc0o0/edit?usp=sharing"",""งบพรบ!CO65"")"),45500)</f>
        <v>45500</v>
      </c>
      <c r="M186" s="45">
        <f ca="1">IFERROR(__xludf.DUMMYFUNCTION("IMPORTRANGE(""https://docs.google.com/spreadsheets/d/1MeEWN-I1oV_STSDYn1IFDPWt_1FKiwhDph83XaGc0o0/edit?usp=sharing"",""งบพรบ!CT65"")"),45500)</f>
        <v>45500</v>
      </c>
      <c r="N186" s="45">
        <f ca="1">IFERROR(__xludf.DUMMYFUNCTION("IMPORTRANGE(""https://docs.google.com/spreadsheets/d/1MeEWN-I1oV_STSDYn1IFDPWt_1FKiwhDph83XaGc0o0/edit?usp=sharing"",""งบพรบ!CV65"")"),31790)</f>
        <v>31790</v>
      </c>
      <c r="O186" s="45">
        <f t="shared" ca="1" si="93"/>
        <v>69.868131868131869</v>
      </c>
      <c r="P186" s="45">
        <f t="shared" ca="1" si="94"/>
        <v>69.868131868131869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IFERROR(__xludf.DUMMYFUNCTION("IMPORTRANGE(""https://docs.google.com/spreadsheets/d/1MeEWN-I1oV_STSDYn1IFDPWt_1FKiwhDph83XaGc0o0/edit?usp=sharing"",""งบพรบ!CR65"")"),0)</f>
        <v>0</v>
      </c>
      <c r="M189" s="45">
        <f ca="1">IFERROR(__xludf.DUMMYFUNCTION("IMPORTRANGE(""https://docs.google.com/spreadsheets/d/1MeEWN-I1oV_STSDYn1IFDPWt_1FKiwhDph83XaGc0o0/edit?usp=sharing"",""งบพรบ!CU65"")"),0)</f>
        <v>0</v>
      </c>
      <c r="N189" s="45">
        <f ca="1">IFERROR(__xludf.DUMMYFUNCTION("IMPORTRANGE(""https://docs.google.com/spreadsheets/d/1MeEWN-I1oV_STSDYn1IFDPWt_1FKiwhDph83XaGc0o0/edit?usp=sharing"",""งบพรบ!CW65"")"),0)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IFERROR(__xludf.DUMMYFUNCTION("IMPORTRANGE(""https://docs.google.com/spreadsheets/d/1QqKyyYR6Q21VydFLVH3TRQUabQu_ym0Zz7PgGX0-kHA/edit?usp=sharing"",""แผน!Z65"")"),6000)</f>
        <v>6000</v>
      </c>
      <c r="M191" s="154"/>
      <c r="N191" s="264">
        <v>1670</v>
      </c>
      <c r="O191" s="154">
        <f ca="1">IF(L191&gt;0,N191*100/L191,0)</f>
        <v>27.833333333333332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IFERROR(__xludf.DUMMYFUNCTION("IMPORTRANGE(""https://docs.google.com/spreadsheets/d/1QqKyyYR6Q21VydFLVH3TRQUabQu_ym0Zz7PgGX0-kHA/edit?usp=sharing"",""แผน!AC65"")"),4)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18000</v>
      </c>
      <c r="O198" s="154">
        <f ca="1">IF(L198&gt;0,N198*100/L198,0)</f>
        <v>69.230769230769226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IFERROR(__xludf.DUMMYFUNCTION("IMPORTRANGE(""https://docs.google.com/spreadsheets/d/1QqKyyYR6Q21VydFLVH3TRQUabQu_ym0Zz7PgGX0-kHA/edit?usp=sharing"",""แผน!AE65"")"),2000)</f>
        <v>2000</v>
      </c>
      <c r="M199" s="38"/>
      <c r="N199" s="271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IFERROR(__xludf.DUMMYFUNCTION("IMPORTRANGE(""https://docs.google.com/spreadsheets/d/1QqKyyYR6Q21VydFLVH3TRQUabQu_ym0Zz7PgGX0-kHA/edit?usp=sharing"",""แผน!AF65"")"),16000)</f>
        <v>16000</v>
      </c>
      <c r="M200" s="38"/>
      <c r="N200" s="271">
        <v>16000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IFERROR(__xludf.DUMMYFUNCTION("IMPORTRANGE(""https://docs.google.com/spreadsheets/d/1QqKyyYR6Q21VydFLVH3TRQUabQu_ym0Zz7PgGX0-kHA/edit?usp=sharing"",""แผน!AG65"")"),8000)</f>
        <v>8000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IFERROR(__xludf.DUMMYFUNCTION("IMPORTRANGE(""https://docs.google.com/spreadsheets/d/1QqKyyYR6Q21VydFLVH3TRQUabQu_ym0Zz7PgGX0-kHA/edit?usp=sharing"",""แผน!AH65"")"),0)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IFERROR(__xludf.DUMMYFUNCTION("IMPORTRANGE(""https://docs.google.com/spreadsheets/d/1QqKyyYR6Q21VydFLVH3TRQUabQu_ym0Zz7PgGX0-kHA/edit?usp=sharing"",""แผน!AI65"")"),2)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IFERROR(__xludf.DUMMYFUNCTION("IMPORTRANGE(""https://docs.google.com/spreadsheets/d/1QqKyyYR6Q21VydFLVH3TRQUabQu_ym0Zz7PgGX0-kHA/edit?usp=sharing"",""แผน!AK65"")"),0)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IFERROR(__xludf.DUMMYFUNCTION("IMPORTRANGE(""https://docs.google.com/spreadsheets/d/1QqKyyYR6Q21VydFLVH3TRQUabQu_ym0Zz7PgGX0-kHA/edit?usp=sharing"",""แผน!AL65"")"),0)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IFERROR(__xludf.DUMMYFUNCTION("IMPORTRANGE(""https://docs.google.com/spreadsheets/d/1QqKyyYR6Q21VydFLVH3TRQUabQu_ym0Zz7PgGX0-kHA/edit?usp=sharing"",""แผน!AM65"")"),0)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30000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IFERROR(__xludf.DUMMYFUNCTION("IMPORTRANGE(""https://docs.google.com/spreadsheets/d/1QqKyyYR6Q21VydFLVH3TRQUabQu_ym0Zz7PgGX0-kHA/edit?usp=sharing"",""แผน!AP65"")"),5000)</f>
        <v>5000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IFERROR(__xludf.DUMMYFUNCTION("IMPORTRANGE(""https://docs.google.com/spreadsheets/d/1QqKyyYR6Q21VydFLVH3TRQUabQu_ym0Zz7PgGX0-kHA/edit?usp=sharing"",""แผน!AQ65"")"),8500)</f>
        <v>8500</v>
      </c>
      <c r="M219" s="38"/>
      <c r="N219" s="271"/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IFERROR(__xludf.DUMMYFUNCTION("IMPORTRANGE(""https://docs.google.com/spreadsheets/d/1QqKyyYR6Q21VydFLVH3TRQUabQu_ym0Zz7PgGX0-kHA/edit?usp=sharing"",""แผน!AR65"")"),0)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IFERROR(__xludf.DUMMYFUNCTION("IMPORTRANGE(""https://docs.google.com/spreadsheets/d/1QqKyyYR6Q21VydFLVH3TRQUabQu_ym0Zz7PgGX0-kHA/edit?usp=sharing"",""แผน!AT65"")"),30000)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IFERROR(__xludf.DUMMYFUNCTION("IMPORTRANGE(""https://docs.google.com/spreadsheets/d/1QqKyyYR6Q21VydFLVH3TRQUabQu_ym0Zz7PgGX0-kHA/edit?usp=sharing"",""แผน!AT65"")"),30000)</f>
        <v>30000</v>
      </c>
      <c r="J224" s="181">
        <v>30000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IFERROR(__xludf.DUMMYFUNCTION("IMPORTRANGE(""https://docs.google.com/spreadsheets/d/1QqKyyYR6Q21VydFLVH3TRQUabQu_ym0Zz7PgGX0-kHA/edit?usp=sharing"",""แผน!AS65"")"),0)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IFERROR(__xludf.DUMMYFUNCTION("IMPORTRANGE(""https://docs.google.com/spreadsheets/d/1QqKyyYR6Q21VydFLVH3TRQUabQu_ym0Zz7PgGX0-kHA/edit?usp=sharing"",""แผน!AV65"")"),0)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IFERROR(__xludf.DUMMYFUNCTION("IMPORTRANGE(""https://docs.google.com/spreadsheets/d/1QqKyyYR6Q21VydFLVH3TRQUabQu_ym0Zz7PgGX0-kHA/edit?usp=sharing"",""แผน!AW65"")"),0)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IFERROR(__xludf.DUMMYFUNCTION("IMPORTRANGE(""https://docs.google.com/spreadsheets/d/1QqKyyYR6Q21VydFLVH3TRQUabQu_ym0Zz7PgGX0-kHA/edit?usp=sharing"",""แผน!AX65"")"),0)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IFERROR(__xludf.DUMMYFUNCTION("IMPORTRANGE(""https://docs.google.com/spreadsheets/d/1QqKyyYR6Q21VydFLVH3TRQUabQu_ym0Zz7PgGX0-kHA/edit?usp=sharing"",""แผน!AY65"")"),0)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IFERROR(__xludf.DUMMYFUNCTION("IMPORTRANGE(""https://docs.google.com/spreadsheets/d/1QqKyyYR6Q21VydFLVH3TRQUabQu_ym0Zz7PgGX0-kHA/edit?usp=sharing"",""แผน!AZ65"")"),0)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IFERROR(__xludf.DUMMYFUNCTION("IMPORTRANGE(""https://docs.google.com/spreadsheets/d/1QqKyyYR6Q21VydFLVH3TRQUabQu_ym0Zz7PgGX0-kHA/edit?usp=sharing"",""แผน!BA65"")"),0)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IFERROR(__xludf.DUMMYFUNCTION("IMPORTRANGE(""https://docs.google.com/spreadsheets/d/1QqKyyYR6Q21VydFLVH3TRQUabQu_ym0Zz7PgGX0-kHA/edit?usp=sharing"",""แผน!BB65"")"),0)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IFERROR(__xludf.DUMMYFUNCTION("IMPORTRANGE(""https://docs.google.com/spreadsheets/d/1QqKyyYR6Q21VydFLVH3TRQUabQu_ym0Zz7PgGX0-kHA/edit?usp=sharing"",""แผน!BC65"")"),0)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21535</v>
      </c>
      <c r="O261" s="154">
        <f t="shared" ref="O261:O269" ca="1" si="117">IF(L261&gt;0,N261*100/L261,0)</f>
        <v>80.05576208178438</v>
      </c>
      <c r="P261" s="154">
        <f t="shared" ref="P261:P269" ca="1" si="118">IF(M261&gt;0,N261*100/M261,0)</f>
        <v>80.05576208178438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21535</v>
      </c>
      <c r="O263" s="45">
        <f t="shared" ca="1" si="117"/>
        <v>80.05576208178438</v>
      </c>
      <c r="P263" s="45">
        <f t="shared" ca="1" si="118"/>
        <v>80.05576208178438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21535</v>
      </c>
      <c r="O264" s="38">
        <f t="shared" ca="1" si="117"/>
        <v>80.05576208178438</v>
      </c>
      <c r="P264" s="38">
        <f t="shared" ca="1" si="118"/>
        <v>80.05576208178438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IFERROR(__xludf.DUMMYFUNCTION("IMPORTRANGE(""https://docs.google.com/spreadsheets/d/1MeEWN-I1oV_STSDYn1IFDPWt_1FKiwhDph83XaGc0o0/edit?usp=sharing"",""งบพรบ!CY65"")"),26900)</f>
        <v>26900</v>
      </c>
      <c r="M266" s="45">
        <f ca="1">IFERROR(__xludf.DUMMYFUNCTION("IMPORTRANGE(""https://docs.google.com/spreadsheets/d/1MeEWN-I1oV_STSDYn1IFDPWt_1FKiwhDph83XaGc0o0/edit?usp=sharing"",""งบพรบ!DD65"")"),26900)</f>
        <v>26900</v>
      </c>
      <c r="N266" s="45">
        <f ca="1">IFERROR(__xludf.DUMMYFUNCTION("IMPORTRANGE(""https://docs.google.com/spreadsheets/d/1MeEWN-I1oV_STSDYn1IFDPWt_1FKiwhDph83XaGc0o0/edit?usp=sharing"",""งบพรบ!DF65"")"),21535)</f>
        <v>21535</v>
      </c>
      <c r="O266" s="45">
        <f t="shared" ca="1" si="117"/>
        <v>80.05576208178438</v>
      </c>
      <c r="P266" s="45">
        <f t="shared" ca="1" si="118"/>
        <v>80.05576208178438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IFERROR(__xludf.DUMMYFUNCTION("IMPORTRANGE(""https://docs.google.com/spreadsheets/d/1MeEWN-I1oV_STSDYn1IFDPWt_1FKiwhDph83XaGc0o0/edit?usp=sharing"",""งบพรบ!DB65"")"),0)</f>
        <v>0</v>
      </c>
      <c r="M269" s="45">
        <f ca="1">IFERROR(__xludf.DUMMYFUNCTION("IMPORTRANGE(""https://docs.google.com/spreadsheets/d/1MeEWN-I1oV_STSDYn1IFDPWt_1FKiwhDph83XaGc0o0/edit?usp=sharing"",""งบพรบ!DE65"")"),0)</f>
        <v>0</v>
      </c>
      <c r="N269" s="45">
        <f ca="1">IFERROR(__xludf.DUMMYFUNCTION("IMPORTRANGE(""https://docs.google.com/spreadsheets/d/1MeEWN-I1oV_STSDYn1IFDPWt_1FKiwhDph83XaGc0o0/edit?usp=sharing"",""งบพรบ!DG65"")"),0)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IFERROR(__xludf.DUMMYFUNCTION("IMPORTRANGE(""https://docs.google.com/spreadsheets/d/1QqKyyYR6Q21VydFLVH3TRQUabQu_ym0Zz7PgGX0-kHA/edit?usp=sharing"",""แผน!EA65"")"),22)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IFERROR(__xludf.DUMMYFUNCTION("IMPORTRANGE(""https://docs.google.com/spreadsheets/d/1MeEWN-I1oV_STSDYn1IFDPWt_1FKiwhDph83XaGc0o0/edit?usp=sharing"",""งบพรบ!DI65"")"),0)</f>
        <v>0</v>
      </c>
      <c r="M282" s="45">
        <f ca="1">IFERROR(__xludf.DUMMYFUNCTION("IMPORTRANGE(""https://docs.google.com/spreadsheets/d/1MeEWN-I1oV_STSDYn1IFDPWt_1FKiwhDph83XaGc0o0/edit?usp=sharing"",""งบพรบ!DN65"")"),0)</f>
        <v>0</v>
      </c>
      <c r="N282" s="45">
        <f ca="1">IFERROR(__xludf.DUMMYFUNCTION("IMPORTRANGE(""https://docs.google.com/spreadsheets/d/1MeEWN-I1oV_STSDYn1IFDPWt_1FKiwhDph83XaGc0o0/edit?usp=sharing"",""งบพรบ!DP65"")"),0)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IFERROR(__xludf.DUMMYFUNCTION("IMPORTRANGE(""https://docs.google.com/spreadsheets/d/1MeEWN-I1oV_STSDYn1IFDPWt_1FKiwhDph83XaGc0o0/edit?usp=sharing"",""งบพรบ!DL65"")"),0)</f>
        <v>0</v>
      </c>
      <c r="M285" s="45">
        <f ca="1">IFERROR(__xludf.DUMMYFUNCTION("IMPORTRANGE(""https://docs.google.com/spreadsheets/d/1MeEWN-I1oV_STSDYn1IFDPWt_1FKiwhDph83XaGc0o0/edit?usp=sharing"",""งบพรบ!DO65"")"),0)</f>
        <v>0</v>
      </c>
      <c r="N285" s="45">
        <f ca="1">IFERROR(__xludf.DUMMYFUNCTION("IMPORTRANGE(""https://docs.google.com/spreadsheets/d/1MeEWN-I1oV_STSDYn1IFDPWt_1FKiwhDph83XaGc0o0/edit?usp=sharing"",""งบพรบ!DQ65"")"),0)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IFERROR(__xludf.DUMMYFUNCTION("IMPORTRANGE(""https://docs.google.com/spreadsheets/d/1QqKyyYR6Q21VydFLVH3TRQUabQu_ym0Zz7PgGX0-kHA/edit?usp=sharing"",""แผน!EC65"")"),0)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IFERROR(__xludf.DUMMYFUNCTION("IMPORTRANGE(""https://docs.google.com/spreadsheets/d/1QqKyyYR6Q21VydFLVH3TRQUabQu_ym0Zz7PgGX0-kHA/edit?usp=sharing"",""แผน!EB65"")"),0)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IFERROR(__xludf.DUMMYFUNCTION("IMPORTRANGE(""https://docs.google.com/spreadsheets/d/1QqKyyYR6Q21VydFLVH3TRQUabQu_ym0Zz7PgGX0-kHA/edit?usp=sharing"",""แผน!EB65"")"),0)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IFERROR(__xludf.DUMMYFUNCTION("IMPORTRANGE(""https://docs.google.com/spreadsheets/d/1QqKyyYR6Q21VydFLVH3TRQUabQu_ym0Zz7PgGX0-kHA/edit?usp=sharing"",""แผน!EB65"")"),0)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IFERROR(__xludf.DUMMYFUNCTION("IMPORTRANGE(""https://docs.google.com/spreadsheets/d/1QqKyyYR6Q21VydFLVH3TRQUabQu_ym0Zz7PgGX0-kHA/edit?usp=sharing"",""แผน!EB65"")"),0)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IFERROR(__xludf.DUMMYFUNCTION("IMPORTRANGE(""https://docs.google.com/spreadsheets/d/1QqKyyYR6Q21VydFLVH3TRQUabQu_ym0Zz7PgGX0-kHA/edit?usp=sharing"",""แผน!EB65"")"),0)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IFERROR(__xludf.DUMMYFUNCTION("IMPORTRANGE(""https://docs.google.com/spreadsheets/d/1MeEWN-I1oV_STSDYn1IFDPWt_1FKiwhDph83XaGc0o0/edit?usp=sharing"",""งบพรบ!DS65"")"),0)</f>
        <v>0</v>
      </c>
      <c r="M303" s="45">
        <f ca="1">IFERROR(__xludf.DUMMYFUNCTION("IMPORTRANGE(""https://docs.google.com/spreadsheets/d/1MeEWN-I1oV_STSDYn1IFDPWt_1FKiwhDph83XaGc0o0/edit?usp=sharing"",""งบพรบ!DX65"")"),0)</f>
        <v>0</v>
      </c>
      <c r="N303" s="45">
        <f ca="1">IFERROR(__xludf.DUMMYFUNCTION("IMPORTRANGE(""https://docs.google.com/spreadsheets/d/1MeEWN-I1oV_STSDYn1IFDPWt_1FKiwhDph83XaGc0o0/edit?usp=sharing"",""งบพรบ!DZ65"")"),0)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IFERROR(__xludf.DUMMYFUNCTION("IMPORTRANGE(""https://docs.google.com/spreadsheets/d/1MeEWN-I1oV_STSDYn1IFDPWt_1FKiwhDph83XaGc0o0/edit?usp=sharing"",""งบพรบ!DV65"")"),0)</f>
        <v>0</v>
      </c>
      <c r="M306" s="45">
        <f ca="1">IFERROR(__xludf.DUMMYFUNCTION("IMPORTRANGE(""https://docs.google.com/spreadsheets/d/1MeEWN-I1oV_STSDYn1IFDPWt_1FKiwhDph83XaGc0o0/edit?usp=sharing"",""งบพรบ!DY65"")"),0)</f>
        <v>0</v>
      </c>
      <c r="N306" s="45">
        <f ca="1">IFERROR(__xludf.DUMMYFUNCTION("IMPORTRANGE(""https://docs.google.com/spreadsheets/d/1MeEWN-I1oV_STSDYn1IFDPWt_1FKiwhDph83XaGc0o0/edit?usp=sharing"",""งบพรบ!EA65"")"),0)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IFERROR(__xludf.DUMMYFUNCTION("IMPORTRANGE(""https://docs.google.com/spreadsheets/d/1QqKyyYR6Q21VydFLVH3TRQUabQu_ym0Zz7PgGX0-kHA/edit?usp=sharing"",""แผน!ED65"")"),0)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IFERROR(__xludf.DUMMYFUNCTION("IMPORTRANGE(""https://docs.google.com/spreadsheets/d/1QqKyyYR6Q21VydFLVH3TRQUabQu_ym0Zz7PgGX0-kHA/edit?usp=sharing"",""แผน!ED65"")"),0)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IFERROR(__xludf.DUMMYFUNCTION("IMPORTRANGE(""https://docs.google.com/spreadsheets/d/1QqKyyYR6Q21VydFLVH3TRQUabQu_ym0Zz7PgGX0-kHA/edit?usp=sharing"",""แผน!ED65"")"),0)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IFERROR(__xludf.DUMMYFUNCTION("IMPORTRANGE(""https://docs.google.com/spreadsheets/d/1QqKyyYR6Q21VydFLVH3TRQUabQu_ym0Zz7PgGX0-kHA/edit?usp=sharing"",""แผน!EE65"")"),0)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IFERROR(__xludf.DUMMYFUNCTION("IMPORTRANGE(""https://docs.google.com/spreadsheets/d/1MeEWN-I1oV_STSDYn1IFDPWt_1FKiwhDph83XaGc0o0/edit?usp=sharing"",""งบพรบ!EC65"")"),0)</f>
        <v>0</v>
      </c>
      <c r="M320" s="45">
        <f ca="1">IFERROR(__xludf.DUMMYFUNCTION("IMPORTRANGE(""https://docs.google.com/spreadsheets/d/1MeEWN-I1oV_STSDYn1IFDPWt_1FKiwhDph83XaGc0o0/edit?usp=sharing"",""งบพรบ!EH65"")"),0)</f>
        <v>0</v>
      </c>
      <c r="N320" s="45">
        <f ca="1">IFERROR(__xludf.DUMMYFUNCTION("IMPORTRANGE(""https://docs.google.com/spreadsheets/d/1MeEWN-I1oV_STSDYn1IFDPWt_1FKiwhDph83XaGc0o0/edit?usp=sharing"",""งบพรบ!EJ65"")"),0)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IFERROR(__xludf.DUMMYFUNCTION("IMPORTRANGE(""https://docs.google.com/spreadsheets/d/1MeEWN-I1oV_STSDYn1IFDPWt_1FKiwhDph83XaGc0o0/edit?usp=sharing"",""งบพรบ!EF65"")"),0)</f>
        <v>0</v>
      </c>
      <c r="M323" s="45">
        <f ca="1">IFERROR(__xludf.DUMMYFUNCTION("IMPORTRANGE(""https://docs.google.com/spreadsheets/d/1MeEWN-I1oV_STSDYn1IFDPWt_1FKiwhDph83XaGc0o0/edit?usp=sharing"",""งบพรบ!EI65"")"),0)</f>
        <v>0</v>
      </c>
      <c r="N323" s="45">
        <f ca="1">IFERROR(__xludf.DUMMYFUNCTION("IMPORTRANGE(""https://docs.google.com/spreadsheets/d/1MeEWN-I1oV_STSDYn1IFDPWt_1FKiwhDph83XaGc0o0/edit?usp=sharing"",""งบพรบ!EK65"")"),0)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IFERROR(__xludf.DUMMYFUNCTION("IMPORTRANGE(""https://docs.google.com/spreadsheets/d/1QqKyyYR6Q21VydFLVH3TRQUabQu_ym0Zz7PgGX0-kHA/edit?usp=sharing"",""แผน!EG65"")"),700)</f>
        <v>700</v>
      </c>
      <c r="J327" s="421">
        <f ca="1">J338+J341+J342+J343</f>
        <v>588</v>
      </c>
      <c r="K327" s="422">
        <f ca="1">IF(I327&gt;0,J327*100/I327,0)</f>
        <v>84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161000</v>
      </c>
      <c r="M328" s="154">
        <f t="shared" ca="1" si="149"/>
        <v>163500</v>
      </c>
      <c r="N328" s="154">
        <f t="shared" ca="1" si="149"/>
        <v>132890</v>
      </c>
      <c r="O328" s="154">
        <f t="shared" ref="O328:O336" ca="1" si="150">IF(L328&gt;0,N328*100/L328,0)</f>
        <v>82.540372670807457</v>
      </c>
      <c r="P328" s="154">
        <f t="shared" ref="P328:P336" ca="1" si="151">IF(M328&gt;0,N328*100/M328,0)</f>
        <v>81.278287461773701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161000</v>
      </c>
      <c r="M330" s="45">
        <f t="shared" ca="1" si="152"/>
        <v>163500</v>
      </c>
      <c r="N330" s="45">
        <f t="shared" ca="1" si="152"/>
        <v>132890</v>
      </c>
      <c r="O330" s="45">
        <f t="shared" ca="1" si="150"/>
        <v>82.540372670807457</v>
      </c>
      <c r="P330" s="45">
        <f t="shared" ca="1" si="151"/>
        <v>81.278287461773701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161000</v>
      </c>
      <c r="M331" s="38">
        <f t="shared" ca="1" si="153"/>
        <v>163500</v>
      </c>
      <c r="N331" s="38">
        <f t="shared" ca="1" si="153"/>
        <v>132890</v>
      </c>
      <c r="O331" s="38">
        <f t="shared" ca="1" si="150"/>
        <v>82.540372670807457</v>
      </c>
      <c r="P331" s="38">
        <f t="shared" ca="1" si="151"/>
        <v>81.278287461773701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IFERROR(__xludf.DUMMYFUNCTION("IMPORTRANGE(""https://docs.google.com/spreadsheets/d/1MeEWN-I1oV_STSDYn1IFDPWt_1FKiwhDph83XaGc0o0/edit?usp=sharing"",""งบพรบ!EM65"")"),161000)</f>
        <v>161000</v>
      </c>
      <c r="M333" s="45">
        <f ca="1">IFERROR(__xludf.DUMMYFUNCTION("IMPORTRANGE(""https://docs.google.com/spreadsheets/d/1MeEWN-I1oV_STSDYn1IFDPWt_1FKiwhDph83XaGc0o0/edit?usp=sharing"",""งบพรบ!ER65"")"),163500)</f>
        <v>163500</v>
      </c>
      <c r="N333" s="45">
        <f ca="1">IFERROR(__xludf.DUMMYFUNCTION("IMPORTRANGE(""https://docs.google.com/spreadsheets/d/1MeEWN-I1oV_STSDYn1IFDPWt_1FKiwhDph83XaGc0o0/edit?usp=sharing"",""งบพรบ!ET65"")"),132890)</f>
        <v>132890</v>
      </c>
      <c r="O333" s="45">
        <f t="shared" ca="1" si="150"/>
        <v>82.540372670807457</v>
      </c>
      <c r="P333" s="45">
        <f t="shared" ca="1" si="151"/>
        <v>81.278287461773701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IFERROR(__xludf.DUMMYFUNCTION("IMPORTRANGE(""https://docs.google.com/spreadsheets/d/1MeEWN-I1oV_STSDYn1IFDPWt_1FKiwhDph83XaGc0o0/edit?usp=sharing"",""งบพรบ!EP65"")"),0)</f>
        <v>0</v>
      </c>
      <c r="M336" s="45">
        <f ca="1">IFERROR(__xludf.DUMMYFUNCTION("IMPORTRANGE(""https://docs.google.com/spreadsheets/d/1MeEWN-I1oV_STSDYn1IFDPWt_1FKiwhDph83XaGc0o0/edit?usp=sharing"",""งบพรบ!ES65"")"),0)</f>
        <v>0</v>
      </c>
      <c r="N336" s="45">
        <f ca="1">IFERROR(__xludf.DUMMYFUNCTION("IMPORTRANGE(""https://docs.google.com/spreadsheets/d/1MeEWN-I1oV_STSDYn1IFDPWt_1FKiwhDph83XaGc0o0/edit?usp=sharing"",""งบพรบ!EU65"")"),0)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IFERROR(__xludf.DUMMYFUNCTION("IMPORTRANGE(""https://docs.google.com/spreadsheets/d/1QqKyyYR6Q21VydFLVH3TRQUabQu_ym0Zz7PgGX0-kHA/edit?usp=sharing"",""แผน!EG65"")"),700)</f>
        <v>700</v>
      </c>
      <c r="J338" s="37">
        <f ca="1">IFERROR(__xludf.DUMMYFUNCTION("IMPORTRANGE(""https://docs.google.com/spreadsheets/d/1kVcqe37tkHyjCSG3S0O1AXqVkqjo8mSIZil3BcpIysc/edit?usp=sharing"",""ศูนย์!D65"")"),403)</f>
        <v>403</v>
      </c>
      <c r="K338" s="38">
        <f ca="1">IF(I338&gt;0,J338*100/I338,0)</f>
        <v>57.571428571428569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IFERROR(__xludf.DUMMYFUNCTION("IMPORTRANGE(""https://docs.google.com/spreadsheets/d/1QqKyyYR6Q21VydFLVH3TRQUabQu_ym0Zz7PgGX0-kHA/edit?usp=sharing"",""แผน!EH65"")"),4)</f>
        <v>4</v>
      </c>
      <c r="J340" s="37">
        <f ca="1">IFERROR(__xludf.DUMMYFUNCTION("IMPORTRANGE(""https://docs.google.com/spreadsheets/d/1kVcqe37tkHyjCSG3S0O1AXqVkqjo8mSIZil3BcpIysc/edit?usp=sharing"",""ศูนย์!E65"")"),4)</f>
        <v>4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IFERROR(__xludf.DUMMYFUNCTION("IMPORTRANGE(""https://docs.google.com/spreadsheets/d/1kVcqe37tkHyjCSG3S0O1AXqVkqjo8mSIZil3BcpIysc/edit?usp=sharing"",""ศูนย์!F65"")"),137)</f>
        <v>137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IFERROR(__xludf.DUMMYFUNCTION("IMPORTRANGE(""https://docs.google.com/spreadsheets/d/1kVcqe37tkHyjCSG3S0O1AXqVkqjo8mSIZil3BcpIysc/edit?usp=sharing"",""ศูนย์!G65"")"),0)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IFERROR(__xludf.DUMMYFUNCTION("IMPORTRANGE(""https://docs.google.com/spreadsheets/d/1kVcqe37tkHyjCSG3S0O1AXqVkqjo8mSIZil3BcpIysc/edit?usp=sharing"",""ศูนย์!H65"")"),48)</f>
        <v>48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466680</v>
      </c>
      <c r="M345" s="154">
        <f t="shared" ca="1" si="155"/>
        <v>521060</v>
      </c>
      <c r="N345" s="154">
        <f t="shared" ca="1" si="155"/>
        <v>403384.5</v>
      </c>
      <c r="O345" s="154">
        <f t="shared" ref="O345:O353" ca="1" si="156">IF(L345&gt;0,N345*100/L345,0)</f>
        <v>86.437066083826181</v>
      </c>
      <c r="P345" s="154">
        <f t="shared" ref="P345:P353" ca="1" si="157">IF(M345&gt;0,N345*100/M345,0)</f>
        <v>77.416132499136381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466680</v>
      </c>
      <c r="M347" s="45">
        <f t="shared" ca="1" si="158"/>
        <v>521060</v>
      </c>
      <c r="N347" s="45">
        <f t="shared" ca="1" si="158"/>
        <v>403384.5</v>
      </c>
      <c r="O347" s="45">
        <f t="shared" ca="1" si="156"/>
        <v>86.437066083826181</v>
      </c>
      <c r="P347" s="45">
        <f t="shared" ca="1" si="157"/>
        <v>77.416132499136381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420680</v>
      </c>
      <c r="M348" s="38">
        <f t="shared" ca="1" si="159"/>
        <v>475060</v>
      </c>
      <c r="N348" s="38">
        <f t="shared" ca="1" si="159"/>
        <v>357384.5</v>
      </c>
      <c r="O348" s="38">
        <f t="shared" ca="1" si="156"/>
        <v>84.95400304269279</v>
      </c>
      <c r="P348" s="38">
        <f t="shared" ca="1" si="157"/>
        <v>75.229339451858706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IFERROR(__xludf.DUMMYFUNCTION("IMPORTRANGE(""https://docs.google.com/spreadsheets/d/1MeEWN-I1oV_STSDYn1IFDPWt_1FKiwhDph83XaGc0o0/edit?usp=sharing"",""งบพรบ!EW65"")"),420680)</f>
        <v>420680</v>
      </c>
      <c r="M350" s="45">
        <f ca="1">IFERROR(__xludf.DUMMYFUNCTION("IMPORTRANGE(""https://docs.google.com/spreadsheets/d/1MeEWN-I1oV_STSDYn1IFDPWt_1FKiwhDph83XaGc0o0/edit?usp=sharing"",""งบพรบ!FB65"")"),475060)</f>
        <v>475060</v>
      </c>
      <c r="N350" s="45">
        <f ca="1">IFERROR(__xludf.DUMMYFUNCTION("IMPORTRANGE(""https://docs.google.com/spreadsheets/d/1MeEWN-I1oV_STSDYn1IFDPWt_1FKiwhDph83XaGc0o0/edit?usp=sharing"",""งบพรบ!FD65"")"),357384.5)</f>
        <v>357384.5</v>
      </c>
      <c r="O350" s="45">
        <f t="shared" ca="1" si="156"/>
        <v>84.95400304269279</v>
      </c>
      <c r="P350" s="45">
        <f t="shared" ca="1" si="157"/>
        <v>75.229339451858706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46000</v>
      </c>
      <c r="M351" s="38">
        <f t="shared" ca="1" si="160"/>
        <v>46000</v>
      </c>
      <c r="N351" s="38">
        <f t="shared" ca="1" si="160"/>
        <v>46000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IFERROR(__xludf.DUMMYFUNCTION("IMPORTRANGE(""https://docs.google.com/spreadsheets/d/1MeEWN-I1oV_STSDYn1IFDPWt_1FKiwhDph83XaGc0o0/edit?usp=sharing"",""งบพรบ!EZ65"")"),46000)</f>
        <v>46000</v>
      </c>
      <c r="M353" s="45">
        <f ca="1">IFERROR(__xludf.DUMMYFUNCTION("IMPORTRANGE(""https://docs.google.com/spreadsheets/d/1MeEWN-I1oV_STSDYn1IFDPWt_1FKiwhDph83XaGc0o0/edit?usp=sharing"",""งบพรบ!FC65"")"),46000)</f>
        <v>46000</v>
      </c>
      <c r="N353" s="45">
        <f ca="1">IFERROR(__xludf.DUMMYFUNCTION("IMPORTRANGE(""https://docs.google.com/spreadsheets/d/1MeEWN-I1oV_STSDYn1IFDPWt_1FKiwhDph83XaGc0o0/edit?usp=sharing"",""งบพรบ!FE65"")"),46000)</f>
        <v>46000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IFERROR(__xludf.DUMMYFUNCTION("IMPORTRANGE(""https://docs.google.com/spreadsheets/d/1QqKyyYR6Q21VydFLVH3TRQUabQu_ym0Zz7PgGX0-kHA/edit?usp=sharing"",""แผน!EP65"")"),14)</f>
        <v>14</v>
      </c>
      <c r="J355" s="438">
        <f ca="1">J362</f>
        <v>1</v>
      </c>
      <c r="K355" s="439">
        <f ca="1">IF(I355&gt;0,J355*100/I355,0)</f>
        <v>7.1428571428571432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IFERROR(__xludf.DUMMYFUNCTION("IMPORTRANGE(""https://docs.google.com/spreadsheets/d/1XWAQStnk-4SwqDmLtmXYiTMKHgktTP8We1SCoS47DrQ/edit?usp=sharing"",""จัดที่ดิน!W65"")"),2)</f>
        <v>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IFERROR(__xludf.DUMMYFUNCTION("IMPORTRANGE(""https://docs.google.com/spreadsheets/d/1QqKyyYR6Q21VydFLVH3TRQUabQu_ym0Zz7PgGX0-kHA/edit?usp=sharing"",""แผน!EO65"")"),150)</f>
        <v>150</v>
      </c>
      <c r="J359" s="37">
        <f ca="1">IFERROR(__xludf.DUMMYFUNCTION("IMPORTRANGE(""https://docs.google.com/spreadsheets/d/1XWAQStnk-4SwqDmLtmXYiTMKHgktTP8We1SCoS47DrQ/edit?usp=sharing"",""จัดที่ดิน!X65"")"),6.97)</f>
        <v>6.97</v>
      </c>
      <c r="K359" s="38">
        <f t="shared" ca="1" si="161"/>
        <v>4.6466666666666665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IFERROR(__xludf.DUMMYFUNCTION("IMPORTRANGE(""https://docs.google.com/spreadsheets/d/1QqKyyYR6Q21VydFLVH3TRQUabQu_ym0Zz7PgGX0-kHA/edit?usp=sharing"",""แผน!EP65"")"),14)</f>
        <v>14</v>
      </c>
      <c r="J360" s="37">
        <f ca="1">IFERROR(__xludf.DUMMYFUNCTION("IMPORTRANGE(""https://docs.google.com/spreadsheets/d/1XWAQStnk-4SwqDmLtmXYiTMKHgktTP8We1SCoS47DrQ/edit?usp=sharing"",""จัดที่ดิน!Y65"")"),1)</f>
        <v>1</v>
      </c>
      <c r="K360" s="38">
        <f t="shared" ca="1" si="161"/>
        <v>7.1428571428571432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IFERROR(__xludf.DUMMYFUNCTION("IMPORTRANGE(""https://docs.google.com/spreadsheets/d/1XWAQStnk-4SwqDmLtmXYiTMKHgktTP8We1SCoS47DrQ/edit?usp=sharing"",""จัดที่ดิน!Z65"")"),1.81)</f>
        <v>1.81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IFERROR(__xludf.DUMMYFUNCTION("IMPORTRANGE(""https://docs.google.com/spreadsheets/d/1QqKyyYR6Q21VydFLVH3TRQUabQu_ym0Zz7PgGX0-kHA/edit?usp=sharing"",""แผน!EP65"")"),14)</f>
        <v>14</v>
      </c>
      <c r="J362" s="37">
        <f ca="1">IFERROR(__xludf.DUMMYFUNCTION("IMPORTRANGE(""https://docs.google.com/spreadsheets/d/1XWAQStnk-4SwqDmLtmXYiTMKHgktTP8We1SCoS47DrQ/edit?usp=sharing"",""จัดที่ดิน!AA65"")"),1)</f>
        <v>1</v>
      </c>
      <c r="K362" s="38">
        <f t="shared" ca="1" si="161"/>
        <v>7.1428571428571432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IFERROR(__xludf.DUMMYFUNCTION("IMPORTRANGE(""https://docs.google.com/spreadsheets/d/1XWAQStnk-4SwqDmLtmXYiTMKHgktTP8We1SCoS47DrQ/edit?usp=sharing"",""จัดที่ดิน!AB65"")"),1.81)</f>
        <v>1.81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69</v>
      </c>
      <c r="J364" s="452">
        <f t="shared" ca="1" si="162"/>
        <v>65</v>
      </c>
      <c r="K364" s="453">
        <f t="shared" ca="1" si="161"/>
        <v>94.20289855072464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IFERROR(__xludf.DUMMYFUNCTION("IMPORTRANGE(""https://docs.google.com/spreadsheets/d/1QqKyyYR6Q21VydFLVH3TRQUabQu_ym0Zz7PgGX0-kHA/edit?usp=sharing"",""แผน!EJ65"")"),4)</f>
        <v>4</v>
      </c>
      <c r="J365" s="462">
        <f ca="1">J372</f>
        <v>0</v>
      </c>
      <c r="K365" s="463">
        <f t="shared" ca="1" si="161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IFERROR(__xludf.DUMMYFUNCTION("IMPORTRANGE(""https://docs.google.com/spreadsheets/d/1XWAQStnk-4SwqDmLtmXYiTMKHgktTP8We1SCoS47DrQ/edit?usp=sharing"",""จัดที่ดิน!E65"")"),1)</f>
        <v>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IFERROR(__xludf.DUMMYFUNCTION("IMPORTRANGE(""https://docs.google.com/spreadsheets/d/1QqKyyYR6Q21VydFLVH3TRQUabQu_ym0Zz7PgGX0-kHA/edit?usp=sharing"",""แผน!EI65"")"),50)</f>
        <v>50</v>
      </c>
      <c r="J369" s="37">
        <f ca="1">IFERROR(__xludf.DUMMYFUNCTION("IMPORTRANGE(""https://docs.google.com/spreadsheets/d/1XWAQStnk-4SwqDmLtmXYiTMKHgktTP8We1SCoS47DrQ/edit?usp=sharing"",""จัดที่ดิน!F65"")"),5.16)</f>
        <v>5.16</v>
      </c>
      <c r="K369" s="38">
        <f t="shared" ca="1" si="163"/>
        <v>10.32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IFERROR(__xludf.DUMMYFUNCTION("IMPORTRANGE(""https://docs.google.com/spreadsheets/d/1QqKyyYR6Q21VydFLVH3TRQUabQu_ym0Zz7PgGX0-kHA/edit?usp=sharing"",""แผน!EJ65"")"),4)</f>
        <v>4</v>
      </c>
      <c r="J370" s="37">
        <f ca="1">IFERROR(__xludf.DUMMYFUNCTION("IMPORTRANGE(""https://docs.google.com/spreadsheets/d/1XWAQStnk-4SwqDmLtmXYiTMKHgktTP8We1SCoS47DrQ/edit?usp=sharing"",""จัดที่ดิน!G65"")"),0)</f>
        <v>0</v>
      </c>
      <c r="K370" s="38">
        <f t="shared" ca="1" si="163"/>
        <v>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IFERROR(__xludf.DUMMYFUNCTION("IMPORTRANGE(""https://docs.google.com/spreadsheets/d/1XWAQStnk-4SwqDmLtmXYiTMKHgktTP8We1SCoS47DrQ/edit?usp=sharing"",""จัดที่ดิน!H65"")"),0)</f>
        <v>0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IFERROR(__xludf.DUMMYFUNCTION("IMPORTRANGE(""https://docs.google.com/spreadsheets/d/1QqKyyYR6Q21VydFLVH3TRQUabQu_ym0Zz7PgGX0-kHA/edit?usp=sharing"",""แผน!EJ65"")"),4)</f>
        <v>4</v>
      </c>
      <c r="J372" s="37">
        <f ca="1">IFERROR(__xludf.DUMMYFUNCTION("IMPORTRANGE(""https://docs.google.com/spreadsheets/d/1XWAQStnk-4SwqDmLtmXYiTMKHgktTP8We1SCoS47DrQ/edit?usp=sharing"",""จัดที่ดิน!I65"")"),0)</f>
        <v>0</v>
      </c>
      <c r="K372" s="38">
        <f t="shared" ca="1" si="163"/>
        <v>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IFERROR(__xludf.DUMMYFUNCTION("IMPORTRANGE(""https://docs.google.com/spreadsheets/d/1XWAQStnk-4SwqDmLtmXYiTMKHgktTP8We1SCoS47DrQ/edit?usp=sharing"",""จัดที่ดิน!J65"")"),0)</f>
        <v>0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IFERROR(__xludf.DUMMYFUNCTION("IMPORTRANGE(""https://docs.google.com/spreadsheets/d/1QqKyyYR6Q21VydFLVH3TRQUabQu_ym0Zz7PgGX0-kHA/edit?usp=sharing"",""แผน!EU65"")"),65)</f>
        <v>65</v>
      </c>
      <c r="J374" s="462">
        <f ca="1">J381</f>
        <v>65</v>
      </c>
      <c r="K374" s="463">
        <f t="shared" ca="1" si="163"/>
        <v>100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IFERROR(__xludf.DUMMYFUNCTION("IMPORTRANGE(""https://docs.google.com/spreadsheets/d/1XWAQStnk-4SwqDmLtmXYiTMKHgktTP8We1SCoS47DrQ/edit?usp=sharing"",""จัดที่ดิน!AH65"")"),1)</f>
        <v>1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IFERROR(__xludf.DUMMYFUNCTION("IMPORTRANGE(""https://docs.google.com/spreadsheets/d/1QqKyyYR6Q21VydFLVH3TRQUabQu_ym0Zz7PgGX0-kHA/edit?usp=sharing"",""แผน!ET65"")"),100)</f>
        <v>100</v>
      </c>
      <c r="J378" s="37">
        <f ca="1">IFERROR(__xludf.DUMMYFUNCTION("IMPORTRANGE(""https://docs.google.com/spreadsheets/d/1XWAQStnk-4SwqDmLtmXYiTMKHgktTP8We1SCoS47DrQ/edit?usp=sharing"",""จัดที่ดิน!AI65"")"),1.81)</f>
        <v>1.81</v>
      </c>
      <c r="K378" s="38">
        <f t="shared" ca="1" si="164"/>
        <v>1.81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IFERROR(__xludf.DUMMYFUNCTION("IMPORTRANGE(""https://docs.google.com/spreadsheets/d/1QqKyyYR6Q21VydFLVH3TRQUabQu_ym0Zz7PgGX0-kHA/edit?usp=sharing"",""แผน!EU65"")"),65)</f>
        <v>65</v>
      </c>
      <c r="J379" s="37">
        <f ca="1">IFERROR(__xludf.DUMMYFUNCTION("IMPORTRANGE(""https://docs.google.com/spreadsheets/d/1XWAQStnk-4SwqDmLtmXYiTMKHgktTP8We1SCoS47DrQ/edit?usp=sharing"",""จัดที่ดิน!AJ65"")"),74)</f>
        <v>74</v>
      </c>
      <c r="K379" s="38">
        <f t="shared" ca="1" si="164"/>
        <v>113.84615384615384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IFERROR(__xludf.DUMMYFUNCTION("IMPORTRANGE(""https://docs.google.com/spreadsheets/d/1XWAQStnk-4SwqDmLtmXYiTMKHgktTP8We1SCoS47DrQ/edit?usp=sharing"",""จัดที่ดิน!AK65"")"),1077.91999999999)</f>
        <v>1077.9199999999901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IFERROR(__xludf.DUMMYFUNCTION("IMPORTRANGE(""https://docs.google.com/spreadsheets/d/1QqKyyYR6Q21VydFLVH3TRQUabQu_ym0Zz7PgGX0-kHA/edit?usp=sharing"",""แผน!EU65"")"),65)</f>
        <v>65</v>
      </c>
      <c r="J381" s="37">
        <f ca="1">IFERROR(__xludf.DUMMYFUNCTION("IMPORTRANGE(""https://docs.google.com/spreadsheets/d/1XWAQStnk-4SwqDmLtmXYiTMKHgktTP8We1SCoS47DrQ/edit?usp=sharing"",""จัดที่ดิน!AL65"")"),65)</f>
        <v>65</v>
      </c>
      <c r="K381" s="38">
        <f t="shared" ca="1" si="164"/>
        <v>100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IFERROR(__xludf.DUMMYFUNCTION("IMPORTRANGE(""https://docs.google.com/spreadsheets/d/1XWAQStnk-4SwqDmLtmXYiTMKHgktTP8We1SCoS47DrQ/edit?usp=sharing"",""จัดที่ดิน!AM65"")"),978.699999999999)</f>
        <v>978.69999999999902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IFERROR(__xludf.DUMMYFUNCTION("IMPORTRANGE(""https://docs.google.com/spreadsheets/d/1QqKyyYR6Q21VydFLVH3TRQUabQu_ym0Zz7PgGX0-kHA/edit?usp=sharing"",""แผน!EW65"")"),10)</f>
        <v>10</v>
      </c>
      <c r="J385" s="365">
        <f ca="1">IFERROR(__xludf.DUMMYFUNCTION("IMPORTRANGE(""https://docs.google.com/spreadsheets/d/1XWAQStnk-4SwqDmLtmXYiTMKHgktTP8We1SCoS47DrQ/edit?usp=sharing"",""จัดที่ดิน!AP65"")"),0)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IFERROR(__xludf.DUMMYFUNCTION("IMPORTRANGE(""https://docs.google.com/spreadsheets/d/1MeEWN-I1oV_STSDYn1IFDPWt_1FKiwhDph83XaGc0o0/edit?usp=sharing"",""งบพรบ!FG65"")"),0)</f>
        <v>0</v>
      </c>
      <c r="M394" s="45">
        <f ca="1">IFERROR(__xludf.DUMMYFUNCTION("IMPORTRANGE(""https://docs.google.com/spreadsheets/d/1MeEWN-I1oV_STSDYn1IFDPWt_1FKiwhDph83XaGc0o0/edit?usp=sharing"",""งบพรบ!FL65"")"),0)</f>
        <v>0</v>
      </c>
      <c r="N394" s="45">
        <f ca="1">IFERROR(__xludf.DUMMYFUNCTION("IMPORTRANGE(""https://docs.google.com/spreadsheets/d/1MeEWN-I1oV_STSDYn1IFDPWt_1FKiwhDph83XaGc0o0/edit?usp=sharing"",""งบพรบ!FN65"")"),0)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IFERROR(__xludf.DUMMYFUNCTION("IMPORTRANGE(""https://docs.google.com/spreadsheets/d/1MeEWN-I1oV_STSDYn1IFDPWt_1FKiwhDph83XaGc0o0/edit?usp=sharing"",""งบพรบ!FJ65"")"),0)</f>
        <v>0</v>
      </c>
      <c r="M397" s="45">
        <f ca="1">IFERROR(__xludf.DUMMYFUNCTION("IMPORTRANGE(""https://docs.google.com/spreadsheets/d/1MeEWN-I1oV_STSDYn1IFDPWt_1FKiwhDph83XaGc0o0/edit?usp=sharing"",""งบพรบ!FM65"")"),0)</f>
        <v>0</v>
      </c>
      <c r="N397" s="45">
        <f ca="1">IFERROR(__xludf.DUMMYFUNCTION("IMPORTRANGE(""https://docs.google.com/spreadsheets/d/1MeEWN-I1oV_STSDYn1IFDPWt_1FKiwhDph83XaGc0o0/edit?usp=sharing"",""งบพรบ!FO65"")"),0)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IFERROR(__xludf.DUMMYFUNCTION("IMPORTRANGE(""https://docs.google.com/spreadsheets/d/1MeEWN-I1oV_STSDYn1IFDPWt_1FKiwhDph83XaGc0o0/edit?usp=sharing"",""งบพรบ!FQ65"")"),0)</f>
        <v>0</v>
      </c>
      <c r="M407" s="45">
        <f ca="1">IFERROR(__xludf.DUMMYFUNCTION("IMPORTRANGE(""https://docs.google.com/spreadsheets/d/1MeEWN-I1oV_STSDYn1IFDPWt_1FKiwhDph83XaGc0o0/edit?usp=sharing"",""งบพรบ!FV65"")"),0)</f>
        <v>0</v>
      </c>
      <c r="N407" s="45">
        <f ca="1">IFERROR(__xludf.DUMMYFUNCTION("IMPORTRANGE(""https://docs.google.com/spreadsheets/d/1MeEWN-I1oV_STSDYn1IFDPWt_1FKiwhDph83XaGc0o0/edit?usp=sharing"",""งบพรบ!FX65"")"),0)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IFERROR(__xludf.DUMMYFUNCTION("IMPORTRANGE(""https://docs.google.com/spreadsheets/d/1MeEWN-I1oV_STSDYn1IFDPWt_1FKiwhDph83XaGc0o0/edit?usp=sharing"",""งบพรบ!FT65"")"),0)</f>
        <v>0</v>
      </c>
      <c r="M410" s="45">
        <f ca="1">IFERROR(__xludf.DUMMYFUNCTION("IMPORTRANGE(""https://docs.google.com/spreadsheets/d/1MeEWN-I1oV_STSDYn1IFDPWt_1FKiwhDph83XaGc0o0/edit?usp=sharing"",""งบพรบ!FW65"")"),0)</f>
        <v>0</v>
      </c>
      <c r="N410" s="45">
        <f ca="1">IFERROR(__xludf.DUMMYFUNCTION("IMPORTRANGE(""https://docs.google.com/spreadsheets/d/1MeEWN-I1oV_STSDYn1IFDPWt_1FKiwhDph83XaGc0o0/edit?usp=sharing"",""งบพรบ!FY65"")"),0)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498913</v>
      </c>
      <c r="M414" s="518">
        <f t="shared" ca="1" si="181"/>
        <v>498913</v>
      </c>
      <c r="N414" s="518">
        <f t="shared" si="181"/>
        <v>223868</v>
      </c>
      <c r="O414" s="518">
        <f ca="1">IF(L414&gt;0,N414*100/L414,0)</f>
        <v>44.871149879838768</v>
      </c>
      <c r="P414" s="518">
        <f ca="1">IF(M414&gt;0,N414*100/M414,0)</f>
        <v>44.871149879838768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61520</v>
      </c>
      <c r="O419" s="154">
        <f t="shared" ref="O419:O424" ca="1" si="185">IF(L419&gt;0,N419*100/L419,0)</f>
        <v>78.210017798118486</v>
      </c>
      <c r="P419" s="154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61520</v>
      </c>
      <c r="O421" s="45">
        <f t="shared" ca="1" si="185"/>
        <v>78.210017798118486</v>
      </c>
      <c r="P421" s="45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61520</v>
      </c>
      <c r="O422" s="38">
        <f t="shared" ca="1" si="185"/>
        <v>78.210017798118486</v>
      </c>
      <c r="P422" s="38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IFERROR(__xludf.DUMMYFUNCTION("IMPORTRANGE(""https://docs.google.com/spreadsheets/d/1QqKyyYR6Q21VydFLVH3TRQUabQu_ym0Zz7PgGX0-kHA/edit?usp=sharing"",""แผน!EY65"")"),78660)</f>
        <v>78660</v>
      </c>
      <c r="M424" s="45">
        <f ca="1">L424</f>
        <v>78660</v>
      </c>
      <c r="N424" s="45">
        <f>N425+N426+N427+N428</f>
        <v>61520</v>
      </c>
      <c r="O424" s="45">
        <f t="shared" ca="1" si="185"/>
        <v>78.210017798118486</v>
      </c>
      <c r="P424" s="45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58820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2700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IFERROR(__xludf.DUMMYFUNCTION("IMPORTRANGE(""https://docs.google.com/spreadsheets/d/1QqKyyYR6Q21VydFLVH3TRQUabQu_ym0Zz7PgGX0-kHA/edit?usp=sharing"",""แผน!FC65"")"),20)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IFERROR(__xludf.DUMMYFUNCTION("IMPORTRANGE(""https://docs.google.com/spreadsheets/d/1QqKyyYR6Q21VydFLVH3TRQUabQu_ym0Zz7PgGX0-kHA/edit?usp=sharing"",""แผน!FD65"")"),0)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IFERROR(__xludf.DUMMYFUNCTION("IMPORTRANGE(""https://docs.google.com/spreadsheets/d/1QqKyyYR6Q21VydFLVH3TRQUabQu_ym0Zz7PgGX0-kHA/edit?usp=sharing"",""แผน!FF65"")"),20)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IFERROR(__xludf.DUMMYFUNCTION("IMPORTRANGE(""https://docs.google.com/spreadsheets/d/1QqKyyYR6Q21VydFLVH3TRQUabQu_ym0Zz7PgGX0-kHA/edit?usp=sharing"",""แผน!FG65"")"),2)</f>
        <v>2</v>
      </c>
      <c r="J440" s="181">
        <v>2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IFERROR(__xludf.DUMMYFUNCTION("IMPORTRANGE(""https://docs.google.com/spreadsheets/d/1QqKyyYR6Q21VydFLVH3TRQUabQu_ym0Zz7PgGX0-kHA/edit?usp=sharing"",""แผน!FJ65"")"),0)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IFERROR(__xludf.DUMMYFUNCTION("IMPORTRANGE(""https://docs.google.com/spreadsheets/d/1QqKyyYR6Q21VydFLVH3TRQUabQu_ym0Zz7PgGX0-kHA/edit?usp=sharing"",""แผน!FN65"")"),0)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IFERROR(__xludf.DUMMYFUNCTION("IMPORTRANGE(""https://docs.google.com/spreadsheets/d/1QqKyyYR6Q21VydFLVH3TRQUabQu_ym0Zz7PgGX0-kHA/edit?usp=sharing"",""แผน!FO65"")"),0)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IFERROR(__xludf.DUMMYFUNCTION("IMPORTRANGE(""https://docs.google.com/spreadsheets/d/1QqKyyYR6Q21VydFLVH3TRQUabQu_ym0Zz7PgGX0-kHA/edit?usp=sharing"",""แผน!FO65"")"),0)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IFERROR(__xludf.DUMMYFUNCTION("IMPORTRANGE(""https://docs.google.com/spreadsheets/d/1QqKyyYR6Q21VydFLVH3TRQUabQu_ym0Zz7PgGX0-kHA/edit?usp=sharing"",""แผน!FN65"")"),0)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IFERROR(__xludf.DUMMYFUNCTION("IMPORTRANGE(""https://docs.google.com/spreadsheets/d/1QqKyyYR6Q21VydFLVH3TRQUabQu_ym0Zz7PgGX0-kHA/edit?usp=sharing"",""แผน!FX65"")"),21)</f>
        <v>21</v>
      </c>
      <c r="J465" s="552">
        <f>J485+J489+J492</f>
        <v>21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IFERROR(__xludf.DUMMYFUNCTION("IMPORTRANGE(""https://docs.google.com/spreadsheets/d/1QqKyyYR6Q21VydFLVH3TRQUabQu_ym0Zz7PgGX0-kHA/edit?usp=sharing"",""แผน!FW65"")"),200)</f>
        <v>200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179833</v>
      </c>
      <c r="M467" s="191">
        <f t="shared" ca="1" si="206"/>
        <v>179833</v>
      </c>
      <c r="N467" s="191">
        <f t="shared" si="206"/>
        <v>35138</v>
      </c>
      <c r="O467" s="191">
        <f t="shared" ref="O467:O472" ca="1" si="207">IF(L467&gt;0,N467*100/L467,0)</f>
        <v>19.539239183019802</v>
      </c>
      <c r="P467" s="191">
        <f t="shared" ref="P467:P472" ca="1" si="208">IF(M467&gt;0,N467*100/M467,0)</f>
        <v>19.539239183019802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179833</v>
      </c>
      <c r="M469" s="45">
        <f t="shared" ca="1" si="209"/>
        <v>179833</v>
      </c>
      <c r="N469" s="45">
        <f t="shared" si="209"/>
        <v>35138</v>
      </c>
      <c r="O469" s="45">
        <f t="shared" ca="1" si="207"/>
        <v>19.539239183019802</v>
      </c>
      <c r="P469" s="45">
        <f t="shared" ca="1" si="208"/>
        <v>19.539239183019802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179833</v>
      </c>
      <c r="M470" s="38">
        <f t="shared" ca="1" si="210"/>
        <v>179833</v>
      </c>
      <c r="N470" s="38">
        <f t="shared" si="210"/>
        <v>35138</v>
      </c>
      <c r="O470" s="38">
        <f t="shared" ca="1" si="207"/>
        <v>19.539239183019802</v>
      </c>
      <c r="P470" s="38">
        <f t="shared" ca="1" si="208"/>
        <v>19.539239183019802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IFERROR(__xludf.DUMMYFUNCTION("IMPORTRANGE(""https://docs.google.com/spreadsheets/d/1QqKyyYR6Q21VydFLVH3TRQUabQu_ym0Zz7PgGX0-kHA/edit?usp=sharing"",""แผน!FS65"")"),179833)</f>
        <v>179833</v>
      </c>
      <c r="M472" s="45">
        <f ca="1">L472</f>
        <v>179833</v>
      </c>
      <c r="N472" s="45">
        <f>N473+N474+N475+N476</f>
        <v>35138</v>
      </c>
      <c r="O472" s="45">
        <f t="shared" ca="1" si="207"/>
        <v>19.539239183019802</v>
      </c>
      <c r="P472" s="45">
        <f t="shared" ca="1" si="208"/>
        <v>19.539239183019802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24903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10235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IFERROR(__xludf.DUMMYFUNCTION("IMPORTRANGE(""https://docs.google.com/spreadsheets/d/1QqKyyYR6Q21VydFLVH3TRQUabQu_ym0Zz7PgGX0-kHA/edit?usp=sharing"",""แผน!FY65"")"),180)</f>
        <v>180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18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IFERROR(__xludf.DUMMYFUNCTION("IMPORTRANGE(""https://docs.google.com/spreadsheets/d/1QqKyyYR6Q21VydFLVH3TRQUabQu_ym0Zz7PgGX0-kHA/edit?usp=sharing"",""แผน!FZ65"")"),18)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IFERROR(__xludf.DUMMYFUNCTION("IMPORTRANGE(""https://docs.google.com/spreadsheets/d/1QqKyyYR6Q21VydFLVH3TRQUabQu_ym0Zz7PgGX0-kHA/edit?usp=sharing"",""แผน!GA65"")"),20)</f>
        <v>20</v>
      </c>
      <c r="J487" s="181"/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2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IFERROR(__xludf.DUMMYFUNCTION("IMPORTRANGE(""https://docs.google.com/spreadsheets/d/1QqKyyYR6Q21VydFLVH3TRQUabQu_ym0Zz7PgGX0-kHA/edit?usp=sharing"",""แผน!GB65"")"),2)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IFERROR(__xludf.DUMMYFUNCTION("IMPORTRANGE(""https://docs.google.com/spreadsheets/d/1QqKyyYR6Q21VydFLVH3TRQUabQu_ym0Zz7PgGX0-kHA/edit?usp=sharing"",""แผน!FY65"")"),180)</f>
        <v>180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IFERROR(__xludf.DUMMYFUNCTION("IMPORTRANGE(""https://docs.google.com/spreadsheets/d/1QqKyyYR6Q21VydFLVH3TRQUabQu_ym0Zz7PgGX0-kHA/edit?usp=sharing"",""แผน!GA65"")"),20)</f>
        <v>20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218300</v>
      </c>
      <c r="M544" s="154">
        <f t="shared" ca="1" si="236"/>
        <v>218300</v>
      </c>
      <c r="N544" s="154">
        <f t="shared" si="236"/>
        <v>123210</v>
      </c>
      <c r="O544" s="154">
        <f t="shared" ref="O544:O549" ca="1" si="237">IF(L544&gt;0,N544*100/L544,0)</f>
        <v>56.440677966101696</v>
      </c>
      <c r="P544" s="154">
        <f t="shared" ref="P544:P549" ca="1" si="238">IF(M544&gt;0,N544*100/M544,0)</f>
        <v>56.440677966101696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218300</v>
      </c>
      <c r="M546" s="45">
        <f t="shared" ca="1" si="240"/>
        <v>218300</v>
      </c>
      <c r="N546" s="45">
        <f t="shared" si="240"/>
        <v>123210</v>
      </c>
      <c r="O546" s="45">
        <f t="shared" ca="1" si="237"/>
        <v>56.440677966101696</v>
      </c>
      <c r="P546" s="45">
        <f t="shared" ca="1" si="238"/>
        <v>56.440677966101696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218300</v>
      </c>
      <c r="M547" s="38">
        <f t="shared" ca="1" si="241"/>
        <v>218300</v>
      </c>
      <c r="N547" s="38">
        <f t="shared" si="241"/>
        <v>123210</v>
      </c>
      <c r="O547" s="38">
        <f t="shared" ca="1" si="237"/>
        <v>56.440677966101696</v>
      </c>
      <c r="P547" s="38">
        <f t="shared" ca="1" si="238"/>
        <v>56.440677966101696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IFERROR(__xludf.DUMMYFUNCTION("IMPORTRANGE(""https://docs.google.com/spreadsheets/d/1QqKyyYR6Q21VydFLVH3TRQUabQu_ym0Zz7PgGX0-kHA/edit?usp=sharing"",""แผน!HB65"")"),218300)</f>
        <v>218300</v>
      </c>
      <c r="M549" s="45">
        <f ca="1">L549</f>
        <v>218300</v>
      </c>
      <c r="N549" s="45">
        <f>N550+N551+N552+N553+N554</f>
        <v>123210</v>
      </c>
      <c r="O549" s="45">
        <f t="shared" ca="1" si="237"/>
        <v>56.440677966101696</v>
      </c>
      <c r="P549" s="45">
        <f t="shared" ca="1" si="238"/>
        <v>56.440677966101696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78000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45210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IFERROR(__xludf.DUMMYFUNCTION("IMPORTRANGE(""https://docs.google.com/spreadsheets/d/1QqKyyYR6Q21VydFLVH3TRQUabQu_ym0Zz7PgGX0-kHA/edit?usp=sharing"",""แผน!HH65"")"),0)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IFERROR(__xludf.DUMMYFUNCTION("IMPORTRANGE(""https://docs.google.com/spreadsheets/d/1QqKyyYR6Q21VydFLVH3TRQUabQu_ym0Zz7PgGX0-kHA/edit?usp=sharing"",""แผน!HG65"")"),0)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IFERROR(__xludf.DUMMYFUNCTION("IMPORTRANGE(""https://docs.google.com/spreadsheets/d/1QqKyyYR6Q21VydFLVH3TRQUabQu_ym0Zz7PgGX0-kHA/edit?usp=sharing"",""แผน!HH65"")"),0)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IFERROR(__xludf.DUMMYFUNCTION("IMPORTRANGE(""https://docs.google.com/spreadsheets/d/1QqKyyYR6Q21VydFLVH3TRQUabQu_ym0Zz7PgGX0-kHA/edit?usp=sharing"",""แผน!HG65"")"),0)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IFERROR(__xludf.DUMMYFUNCTION("IMPORTRANGE(""https://docs.google.com/spreadsheets/d/1QqKyyYR6Q21VydFLVH3TRQUabQu_ym0Zz7PgGX0-kHA/edit?usp=sharing"",""แผน!HH65"")"),0)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IFERROR(__xludf.DUMMYFUNCTION("IMPORTRANGE(""https://docs.google.com/spreadsheets/d/1QqKyyYR6Q21VydFLVH3TRQUabQu_ym0Zz7PgGX0-kHA/edit?usp=sharing"",""แผน!HG65"")"),0)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189.09</v>
      </c>
      <c r="J592" s="627">
        <f t="shared" si="253"/>
        <v>188.75</v>
      </c>
      <c r="K592" s="628">
        <f t="shared" ref="K592:K594" ca="1" si="254">IF(I592&gt;0,J592*100/I592,0)</f>
        <v>99.820191443228097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IFERROR(__xludf.DUMMYFUNCTION("IMPORTRANGE(""https://docs.google.com/spreadsheets/d/1QqKyyYR6Q21VydFLVH3TRQUabQu_ym0Zz7PgGX0-kHA/edit?usp=sharing"",""แผน!HJ65"")"),189.09)</f>
        <v>189.09</v>
      </c>
      <c r="J593" s="189">
        <f t="shared" ref="J593:J594" si="255">J595+J603+J609</f>
        <v>188.75</v>
      </c>
      <c r="K593" s="390">
        <f t="shared" ca="1" si="254"/>
        <v>99.820191443228097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IFERROR(__xludf.DUMMYFUNCTION("IMPORTRANGE(""https://docs.google.com/spreadsheets/d/1QqKyyYR6Q21VydFLVH3TRQUabQu_ym0Zz7PgGX0-kHA/edit?usp=sharing"",""แผน!HI65"")"),21)</f>
        <v>21</v>
      </c>
      <c r="J594" s="189">
        <f t="shared" si="255"/>
        <v>21</v>
      </c>
      <c r="K594" s="390">
        <f t="shared" ca="1" si="254"/>
        <v>100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187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20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169.5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15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17.5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5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1.75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1.75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IFERROR(__xludf.DUMMYFUNCTION("IMPORTRANGE(""https://docs.google.com/spreadsheets/d/1QqKyyYR6Q21VydFLVH3TRQUabQu_ym0Zz7PgGX0-kHA/edit?usp=sharing"",""แผน!HL65"")"),0)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IFERROR(__xludf.DUMMYFUNCTION("IMPORTRANGE(""https://docs.google.com/spreadsheets/d/1QqKyyYR6Q21VydFLVH3TRQUabQu_ym0Zz7PgGX0-kHA/edit?usp=sharing"",""แผน!HK65"")"),0)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IFERROR(__xludf.DUMMYFUNCTION("IMPORTRANGE(""https://docs.google.com/spreadsheets/d/1QqKyyYR6Q21VydFLVH3TRQUabQu_ym0Zz7PgGX0-kHA/edit?usp=sharing"",""แผน!HN65"")"),0)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IFERROR(__xludf.DUMMYFUNCTION("IMPORTRANGE(""https://docs.google.com/spreadsheets/d/1XWAQStnk-4SwqDmLtmXYiTMKHgktTP8We1SCoS47DrQ/edit?usp=sharing"",""จัดที่ดิน!AS65"")"),0)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IFERROR(__xludf.DUMMYFUNCTION("IMPORTRANGE(""https://docs.google.com/spreadsheets/d/1XWAQStnk-4SwqDmLtmXYiTMKHgktTP8We1SCoS47DrQ/edit?usp=sharing"",""จัดที่ดิน!AT65"")"),0)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IFERROR(__xludf.DUMMYFUNCTION("IMPORTRANGE(""https://docs.google.com/spreadsheets/d/1QqKyyYR6Q21VydFLVH3TRQUabQu_ym0Zz7PgGX0-kHA/edit?usp=sharing"",""แผน!HS65"")"),0)</f>
        <v>0</v>
      </c>
      <c r="J647" s="37">
        <f ca="1">IFERROR(__xludf.DUMMYFUNCTION("IMPORTRANGE(""https://docs.google.com/spreadsheets/d/1XWAQStnk-4SwqDmLtmXYiTMKHgktTP8We1SCoS47DrQ/edit?usp=sharing"",""จัดที่ดิน!AU65"")"),0)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IFERROR(__xludf.DUMMYFUNCTION("IMPORTRANGE(""https://docs.google.com/spreadsheets/d/1XWAQStnk-4SwqDmLtmXYiTMKHgktTP8We1SCoS47DrQ/edit?usp=sharing"",""จัดที่ดิน!AV65"")"),0)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IFERROR(__xludf.DUMMYFUNCTION("IMPORTRANGE(""https://docs.google.com/spreadsheets/d/1QqKyyYR6Q21VydFLVH3TRQUabQu_ym0Zz7PgGX0-kHA/edit?usp=sharing"",""แผน!HS65"")"),0)</f>
        <v>0</v>
      </c>
      <c r="J649" s="37">
        <f ca="1">IFERROR(__xludf.DUMMYFUNCTION("IMPORTRANGE(""https://docs.google.com/spreadsheets/d/1XWAQStnk-4SwqDmLtmXYiTMKHgktTP8We1SCoS47DrQ/edit?usp=sharing"",""จัดที่ดิน!AW65"")"),0)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IFERROR(__xludf.DUMMYFUNCTION("IMPORTRANGE(""https://docs.google.com/spreadsheets/d/1QqKyyYR6Q21VydFLVH3TRQUabQu_ym0Zz7PgGX0-kHA/edit?usp=sharing"",""แผน!HS65"")"),0)</f>
        <v>0</v>
      </c>
      <c r="J651" s="37">
        <f ca="1">IFERROR(__xludf.DUMMYFUNCTION("IMPORTRANGE(""https://docs.google.com/spreadsheets/d/1XWAQStnk-4SwqDmLtmXYiTMKHgktTP8We1SCoS47DrQ/edit?usp=sharing"",""จัดที่ดิน!AY65"")"),0)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IFERROR(__xludf.DUMMYFUNCTION("IMPORTRANGE(""https://docs.google.com/spreadsheets/d/1XWAQStnk-4SwqDmLtmXYiTMKHgktTP8We1SCoS47DrQ/edit?usp=sharing"",""จัดที่ดิน!AZ65"")"),0)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4000</v>
      </c>
      <c r="O655" s="191">
        <f t="shared" ref="O655:O660" ca="1" si="274">IF(L655&gt;0,N655*100/L655,0)</f>
        <v>42.553191489361701</v>
      </c>
      <c r="P655" s="191">
        <f t="shared" ref="P655:P660" ca="1" si="275">IF(M655&gt;0,N655*100/M655,0)</f>
        <v>42.553191489361701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4000</v>
      </c>
      <c r="O657" s="45">
        <f t="shared" ca="1" si="274"/>
        <v>42.553191489361701</v>
      </c>
      <c r="P657" s="45">
        <f t="shared" ca="1" si="275"/>
        <v>42.553191489361701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4000</v>
      </c>
      <c r="O658" s="38">
        <f t="shared" ca="1" si="274"/>
        <v>42.553191489361701</v>
      </c>
      <c r="P658" s="38">
        <f t="shared" ca="1" si="275"/>
        <v>42.553191489361701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IFERROR(__xludf.DUMMYFUNCTION("IMPORTRANGE(""https://docs.google.com/spreadsheets/d/1QqKyyYR6Q21VydFLVH3TRQUabQu_ym0Zz7PgGX0-kHA/edit?usp=sharing"",""แผน!HV65"")"),9400)</f>
        <v>9400</v>
      </c>
      <c r="M660" s="45">
        <f ca="1">L660</f>
        <v>9400</v>
      </c>
      <c r="N660" s="45">
        <f>N661+N662+N663+N664</f>
        <v>4000</v>
      </c>
      <c r="O660" s="45">
        <f t="shared" ca="1" si="274"/>
        <v>42.553191489361701</v>
      </c>
      <c r="P660" s="45">
        <f t="shared" ca="1" si="275"/>
        <v>42.553191489361701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4000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IFERROR(__xludf.DUMMYFUNCTION("IMPORTRANGE(""https://docs.google.com/spreadsheets/d/1QqKyyYR6Q21VydFLVH3TRQUabQu_ym0Zz7PgGX0-kHA/edit?usp=sharing"",""แผน!IA65"")"),50)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IFERROR(__xludf.DUMMYFUNCTION("IMPORTRANGE(""https://docs.google.com/spreadsheets/d/1QqKyyYR6Q21VydFLVH3TRQUabQu_ym0Zz7PgGX0-kHA/edit?usp=sharing"",""แผน!HZ65"")"),4)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IFERROR(__xludf.DUMMYFUNCTION("IMPORTRANGE(""https://docs.google.com/spreadsheets/d/1QqKyyYR6Q21VydFLVH3TRQUabQu_ym0Zz7PgGX0-kHA/edit?usp=sharing"",""แผน!HZ65"")"),4)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12720</v>
      </c>
      <c r="M685" s="191">
        <f t="shared" ca="1" si="282"/>
        <v>12720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12720</v>
      </c>
      <c r="M687" s="45">
        <f t="shared" ca="1" si="285"/>
        <v>12720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12720</v>
      </c>
      <c r="M688" s="38">
        <f t="shared" ca="1" si="286"/>
        <v>12720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IFERROR(__xludf.DUMMYFUNCTION("IMPORTRANGE(""https://docs.google.com/spreadsheets/d/1QqKyyYR6Q21VydFLVH3TRQUabQu_ym0Zz7PgGX0-kHA/edit?usp=sharing"",""แผน!HW65"")"),12720)</f>
        <v>12720</v>
      </c>
      <c r="M690" s="45">
        <f ca="1">L690</f>
        <v>12720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IFERROR(__xludf.DUMMYFUNCTION("IMPORTRANGE(""https://docs.google.com/spreadsheets/d/1QqKyyYR6Q21VydFLVH3TRQUabQu_ym0Zz7PgGX0-kHA/edit?usp=sharing"",""แผน!IC65"")"),0)</f>
        <v>0</v>
      </c>
      <c r="J699" s="37">
        <f ca="1">IFERROR(__xludf.DUMMYFUNCTION("IMPORTRANGE(""https://docs.google.com/spreadsheets/d/1XWAQStnk-4SwqDmLtmXYiTMKHgktTP8We1SCoS47DrQ/edit?usp=sharing"",""จัดที่ดิน!BB65"")"),0)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IFERROR(__xludf.DUMMYFUNCTION("IMPORTRANGE(""https://docs.google.com/spreadsheets/d/1QqKyyYR6Q21VydFLVH3TRQUabQu_ym0Zz7PgGX0-kHA/edit?usp=sharing"",""แผน!ID65"")"),35)</f>
        <v>35</v>
      </c>
      <c r="J700" s="37">
        <f ca="1">IFERROR(__xludf.DUMMYFUNCTION("IMPORTRANGE(""https://docs.google.com/spreadsheets/d/1XWAQStnk-4SwqDmLtmXYiTMKHgktTP8We1SCoS47DrQ/edit?usp=sharing"",""จัดที่ดิน!BD65"")"),2)</f>
        <v>2</v>
      </c>
      <c r="K700" s="38">
        <f t="shared" ca="1" si="290"/>
        <v>5.7142857142857144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IFERROR(__xludf.DUMMYFUNCTION("IMPORTRANGE(""https://docs.google.com/spreadsheets/d/1QqKyyYR6Q21VydFLVH3TRQUabQu_ym0Zz7PgGX0-kHA/edit?usp=sharing"",""แผน!IF65"")"),0)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IFERROR(__xludf.DUMMYFUNCTION("IMPORTRANGE(""https://docs.google.com/spreadsheets/d/1QqKyyYR6Q21VydFLVH3TRQUabQu_ym0Zz7PgGX0-kHA/edit?usp=sharing"",""แผน!IG65"")"),0)</f>
        <v>0</v>
      </c>
      <c r="J707" s="181"/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IFERROR(__xludf.DUMMYFUNCTION("IMPORTRANGE(""https://docs.google.com/spreadsheets/d/1XWAQStnk-4SwqDmLtmXYiTMKHgktTP8We1SCoS47DrQ/edit?usp=sharing"",""จัดที่ดิน!BF65"")"),0)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IFERROR(__xludf.DUMMYFUNCTION("IMPORTRANGE(""https://docs.google.com/spreadsheets/d/1XWAQStnk-4SwqDmLtmXYiTMKHgktTP8We1SCoS47DrQ/edit?usp=sharing"",""จัดที่ดิน!BG65"")"),0)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IFERROR(__xludf.DUMMYFUNCTION("IMPORTRANGE(""https://docs.google.com/spreadsheets/d/1QqKyyYR6Q21VydFLVH3TRQUabQu_ym0Zz7PgGX0-kHA/edit?usp=sharing"",""แผน!II65"")"),0)</f>
        <v>0</v>
      </c>
      <c r="J720" s="37">
        <f ca="1">IFERROR(__xludf.DUMMYFUNCTION("IMPORTRANGE(""https://docs.google.com/spreadsheets/d/1XWAQStnk-4SwqDmLtmXYiTMKHgktTP8We1SCoS47DrQ/edit?usp=sharing"",""จัดที่ดิน!BH65"")"),0)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IFERROR(__xludf.DUMMYFUNCTION("IMPORTRANGE(""https://docs.google.com/spreadsheets/d/1QqKyyYR6Q21VydFLVH3TRQUabQu_ym0Zz7PgGX0-kHA/edit?usp=sharing"",""แผน!IJ65"")"),16)</f>
        <v>16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IFERROR(__xludf.DUMMYFUNCTION("IMPORTRANGE(""https://docs.google.com/spreadsheets/d/1QqKyyYR6Q21VydFLVH3TRQUabQu_ym0Zz7PgGX0-kHA/edit?usp=sharing"",""แผน!IK65"")"),224)</f>
        <v>224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IFERROR(__xludf.DUMMYFUNCTION("IMPORTRANGE(""https://docs.google.com/spreadsheets/d/1QqKyyYR6Q21VydFLVH3TRQUabQu_ym0Zz7PgGX0-kHA/edit?usp=sharing"",""แผน!IL65"")"),12)</f>
        <v>12</v>
      </c>
      <c r="J723" s="37">
        <f ca="1">IFERROR(__xludf.DUMMYFUNCTION("IMPORTRANGE(""https://docs.google.com/spreadsheets/d/1XWAQStnk-4SwqDmLtmXYiTMKHgktTP8We1SCoS47DrQ/edit?usp=sharing"",""จัดที่ดิน!BM65"")"),0)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IFERROR(__xludf.DUMMYFUNCTION("IMPORTRANGE(""https://docs.google.com/spreadsheets/d/1XWAQStnk-4SwqDmLtmXYiTMKHgktTP8We1SCoS47DrQ/edit?usp=sharing"",""จัดที่ดิน!BN65"")"),0)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IFERROR(__xludf.DUMMYFUNCTION("IMPORTRANGE(""https://docs.google.com/spreadsheets/d/1QqKyyYR6Q21VydFLVH3TRQUabQu_ym0Zz7PgGX0-kHA/edit?usp=sharing"",""แผน!IM65"")"),168)</f>
        <v>168</v>
      </c>
      <c r="J725" s="37">
        <f ca="1">IFERROR(__xludf.DUMMYFUNCTION("IMPORTRANGE(""https://docs.google.com/spreadsheets/d/1XWAQStnk-4SwqDmLtmXYiTMKHgktTP8We1SCoS47DrQ/edit?usp=sharing"",""จัดที่ดิน!BO65"")"),0)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IFERROR(__xludf.DUMMYFUNCTION("IMPORTRANGE(""https://docs.google.com/spreadsheets/d/1QqKyyYR6Q21VydFLVH3TRQUabQu_ym0Zz7PgGX0-kHA/edit?usp=sharing"",""แผน!IN65"")"),4)</f>
        <v>4</v>
      </c>
      <c r="J726" s="37">
        <f ca="1">IFERROR(__xludf.DUMMYFUNCTION("IMPORTRANGE(""https://docs.google.com/spreadsheets/d/1XWAQStnk-4SwqDmLtmXYiTMKHgktTP8We1SCoS47DrQ/edit?usp=sharing"",""จัดที่ดิน!BR65"")"),0)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IFERROR(__xludf.DUMMYFUNCTION("IMPORTRANGE(""https://docs.google.com/spreadsheets/d/1XWAQStnk-4SwqDmLtmXYiTMKHgktTP8We1SCoS47DrQ/edit?usp=sharing"",""จัดที่ดิน!BS65"")"),0)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IFERROR(__xludf.DUMMYFUNCTION("IMPORTRANGE(""https://docs.google.com/spreadsheets/d/1QqKyyYR6Q21VydFLVH3TRQUabQu_ym0Zz7PgGX0-kHA/edit?usp=sharing"",""แผน!IO65"")"),56)</f>
        <v>56</v>
      </c>
      <c r="J728" s="37">
        <f ca="1">IFERROR(__xludf.DUMMYFUNCTION("IMPORTRANGE(""https://docs.google.com/spreadsheets/d/1XWAQStnk-4SwqDmLtmXYiTMKHgktTP8We1SCoS47DrQ/edit?usp=sharing"",""จัดที่ดิน!BT65"")"),0)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IFERROR(__xludf.DUMMYFUNCTION("IMPORTRANGE(""https://docs.google.com/spreadsheets/d/1QqKyyYR6Q21VydFLVH3TRQUabQu_ym0Zz7PgGX0-kHA/edit?usp=sharing"",""แผน!JN65"")"),0)</f>
        <v>0</v>
      </c>
      <c r="J800" s="161">
        <f ca="1">IFERROR(__xludf.DUMMYFUNCTION("IMPORTRANGE(""https://docs.google.com/spreadsheets/d/1MaWodYyGHDf7siQLGxnXhG4mBNTNIuy296niS2xXulU/edit?usp=sharing"",""RTK!H65"")"),0)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IFERROR(__xludf.DUMMYFUNCTION("IMPORTRANGE(""https://docs.google.com/spreadsheets/d/1MaWodYyGHDf7siQLGxnXhG4mBNTNIuy296niS2xXulU/edit?usp=sharing"",""RTK!I65"")"),0)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37">
        <f ca="1">IFERROR(__xludf.DUMMYFUNCTION("IMPORTRANGE(""https://docs.google.com/spreadsheets/d/19vJNZY_5yjcGF2XGBMNZRCAIB0Kwfpjp8YEOfu-bneM/edit?usp=sharing"",""งานกองทุน!F65"")"),1062233.54)</f>
        <v>1062233.54</v>
      </c>
      <c r="K821" s="38">
        <f t="shared" ref="K821:K828" ca="1" si="335">IF(I821&gt;0,J821*100/I821,0)</f>
        <v>86.897338192460722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IFERROR(__xludf.DUMMYFUNCTION("IMPORTRANGE(""https://docs.google.com/spreadsheets/d/19vJNZY_5yjcGF2XGBMNZRCAIB0Kwfpjp8YEOfu-bneM/edit?usp=sharing"",""งานกองทุน!C65"")"),95)</f>
        <v>95</v>
      </c>
      <c r="J822" s="37">
        <f ca="1">IFERROR(__xludf.DUMMYFUNCTION("IMPORTRANGE(""https://docs.google.com/spreadsheets/d/19vJNZY_5yjcGF2XGBMNZRCAIB0Kwfpjp8YEOfu-bneM/edit?usp=sharing"",""งานกองทุน!E65"")"),80)</f>
        <v>80</v>
      </c>
      <c r="K822" s="38">
        <f t="shared" ca="1" si="335"/>
        <v>84.21052631578948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37">
        <f ca="1">IFERROR(__xludf.DUMMYFUNCTION("IMPORTRANGE(""https://docs.google.com/spreadsheets/d/19vJNZY_5yjcGF2XGBMNZRCAIB0Kwfpjp8YEOfu-bneM/edit?usp=sharing"",""งานกองทุน!K65"")"),173682.62)</f>
        <v>173682.62</v>
      </c>
      <c r="K823" s="38">
        <f t="shared" ca="1" si="335"/>
        <v>43.253798067230896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IFERROR(__xludf.DUMMYFUNCTION("IMPORTRANGE(""https://docs.google.com/spreadsheets/d/19vJNZY_5yjcGF2XGBMNZRCAIB0Kwfpjp8YEOfu-bneM/edit?usp=sharing"",""งานกองทุน!H65"")"),21)</f>
        <v>21</v>
      </c>
      <c r="J824" s="37">
        <f ca="1">IFERROR(__xludf.DUMMYFUNCTION("IMPORTRANGE(""https://docs.google.com/spreadsheets/d/19vJNZY_5yjcGF2XGBMNZRCAIB0Kwfpjp8YEOfu-bneM/edit?usp=sharing"",""งานกองทุน!J65"")"),14)</f>
        <v>14</v>
      </c>
      <c r="K824" s="38">
        <f t="shared" ca="1" si="335"/>
        <v>66.666666666666671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IFERROR(__xludf.DUMMYFUNCTION("IMPORTRANGE(""https://docs.google.com/spreadsheets/d/19vJNZY_5yjcGF2XGBMNZRCAIB0Kwfpjp8YEOfu-bneM/edit?usp=sharing"",""งานกองทุน!N65"")"),1118.75)</f>
        <v>1118.75</v>
      </c>
      <c r="J825" s="37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38">
        <f t="shared" ca="1" si="335"/>
        <v>11328.158212290502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IFERROR(__xludf.DUMMYFUNCTION("IMPORTRANGE(""https://docs.google.com/spreadsheets/d/19vJNZY_5yjcGF2XGBMNZRCAIB0Kwfpjp8YEOfu-bneM/edit?usp=sharing"",""งานกองทุน!M65"")"),1)</f>
        <v>1</v>
      </c>
      <c r="J826" s="37">
        <f ca="1">IFERROR(__xludf.DUMMYFUNCTION("IMPORTRANGE(""https://docs.google.com/spreadsheets/d/19vJNZY_5yjcGF2XGBMNZRCAIB0Kwfpjp8YEOfu-bneM/edit?usp=sharing"",""งานกองทุน!O65"")"),8)</f>
        <v>8</v>
      </c>
      <c r="K826" s="38">
        <f t="shared" ca="1" si="335"/>
        <v>800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IFERROR(__xludf.DUMMYFUNCTION("IMPORTRANGE(""https://docs.google.com/spreadsheets/d/19vJNZY_5yjcGF2XGBMNZRCAIB0Kwfpjp8YEOfu-bneM/edit?usp=sharing"",""งานกองทุน!S65"")"),1000000)</f>
        <v>1000000</v>
      </c>
      <c r="J827" s="37">
        <f ca="1">IFERROR(__xludf.DUMMYFUNCTION("IMPORTRANGE(""https://docs.google.com/spreadsheets/d/19vJNZY_5yjcGF2XGBMNZRCAIB0Kwfpjp8YEOfu-bneM/edit?usp=sharing"",""งานกองทุน!U65"")"),1000000)</f>
        <v>1000000</v>
      </c>
      <c r="K827" s="38">
        <f t="shared" ca="1" si="335"/>
        <v>100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IFERROR(__xludf.DUMMYFUNCTION("IMPORTRANGE(""https://docs.google.com/spreadsheets/d/19vJNZY_5yjcGF2XGBMNZRCAIB0Kwfpjp8YEOfu-bneM/edit?usp=sharing"",""งานกองทุน!R65"")"),36)</f>
        <v>36</v>
      </c>
      <c r="J828" s="365">
        <f ca="1">IFERROR(__xludf.DUMMYFUNCTION("IMPORTRANGE(""https://docs.google.com/spreadsheets/d/19vJNZY_5yjcGF2XGBMNZRCAIB0Kwfpjp8YEOfu-bneM/edit?usp=sharing"",""งานกองทุน!T65"")"),28)</f>
        <v>28</v>
      </c>
      <c r="K828" s="472">
        <f t="shared" ca="1" si="335"/>
        <v>77.777777777777771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2D089-F882-4503-AF4A-D79132EA083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353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3246048</v>
      </c>
      <c r="N8" s="22">
        <f t="shared" ca="1" si="0"/>
        <v>2575263.85</v>
      </c>
      <c r="O8" s="22">
        <f t="shared" ref="O8:O16" ca="1" si="1">IF(L8&gt;0,N8*100/L8,0)</f>
        <v>82.514986550634177</v>
      </c>
      <c r="P8" s="22">
        <f t="shared" ref="P8:P16" ca="1" si="2">IF(M8&gt;0,N8*100/M8,0)</f>
        <v>79.335359489446859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3246048</v>
      </c>
      <c r="N10" s="30">
        <f t="shared" ca="1" si="3"/>
        <v>2575263.85</v>
      </c>
      <c r="O10" s="30">
        <f t="shared" ca="1" si="1"/>
        <v>82.514986550634177</v>
      </c>
      <c r="P10" s="30">
        <f t="shared" ca="1" si="2"/>
        <v>79.335359489446859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2908765</v>
      </c>
      <c r="M11" s="38">
        <f t="shared" ca="1" si="4"/>
        <v>3033848</v>
      </c>
      <c r="N11" s="38">
        <f t="shared" ca="1" si="4"/>
        <v>2363063.85</v>
      </c>
      <c r="O11" s="38">
        <f t="shared" ca="1" si="1"/>
        <v>81.239421197656057</v>
      </c>
      <c r="P11" s="38">
        <f t="shared" ca="1" si="2"/>
        <v>77.8899882261735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2908765</v>
      </c>
      <c r="M13" s="45">
        <f t="shared" ca="1" si="5"/>
        <v>3033848</v>
      </c>
      <c r="N13" s="45">
        <f t="shared" ca="1" si="5"/>
        <v>2363063.85</v>
      </c>
      <c r="O13" s="45">
        <f t="shared" ca="1" si="1"/>
        <v>81.239421197656057</v>
      </c>
      <c r="P13" s="45">
        <f t="shared" ca="1" si="2"/>
        <v>77.8899882261735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212200</v>
      </c>
      <c r="M14" s="38">
        <f t="shared" ca="1" si="6"/>
        <v>212200</v>
      </c>
      <c r="N14" s="38">
        <f t="shared" ca="1" si="6"/>
        <v>212200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2395555</v>
      </c>
      <c r="N18" s="22">
        <f t="shared" ca="1" si="8"/>
        <v>1977748.85</v>
      </c>
      <c r="O18" s="22">
        <f t="shared" ref="O18:O26" ca="1" si="9">IF(L18&gt;0,N18*100/L18,0)</f>
        <v>87.107387803064739</v>
      </c>
      <c r="P18" s="22">
        <f t="shared" ref="P18:P26" ca="1" si="10">IF(M18&gt;0,N18*100/M18,0)</f>
        <v>82.559108432075234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2395555</v>
      </c>
      <c r="N20" s="30">
        <f t="shared" ca="1" si="11"/>
        <v>1977748.85</v>
      </c>
      <c r="O20" s="30">
        <f t="shared" ca="1" si="9"/>
        <v>87.107387803064739</v>
      </c>
      <c r="P20" s="30">
        <f t="shared" ca="1" si="10"/>
        <v>82.559108432075234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2058272</v>
      </c>
      <c r="M21" s="38">
        <f t="shared" ca="1" si="12"/>
        <v>2183355</v>
      </c>
      <c r="N21" s="38">
        <f t="shared" ca="1" si="12"/>
        <v>1765548.85</v>
      </c>
      <c r="O21" s="38">
        <f t="shared" ca="1" si="9"/>
        <v>85.778208613827516</v>
      </c>
      <c r="P21" s="38">
        <f t="shared" ca="1" si="10"/>
        <v>80.86403035695065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2058272</v>
      </c>
      <c r="M23" s="45">
        <f t="shared" ca="1" si="13"/>
        <v>2183355</v>
      </c>
      <c r="N23" s="45">
        <f t="shared" ca="1" si="13"/>
        <v>1765548.85</v>
      </c>
      <c r="O23" s="45">
        <f t="shared" ca="1" si="9"/>
        <v>85.778208613827516</v>
      </c>
      <c r="P23" s="45">
        <f t="shared" ca="1" si="10"/>
        <v>80.86403035695065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212200</v>
      </c>
      <c r="M24" s="38">
        <f t="shared" ca="1" si="14"/>
        <v>212200</v>
      </c>
      <c r="N24" s="38">
        <f t="shared" ca="1" si="14"/>
        <v>212200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597515</v>
      </c>
      <c r="O28" s="22">
        <f t="shared" ref="O28:O37" ca="1" si="17">IF(L28&gt;0,N28*100/L28,0)</f>
        <v>70.255134375003678</v>
      </c>
      <c r="P28" s="22">
        <f t="shared" ref="P28:P37" ca="1" si="18">IF(M28&gt;0,N28*100/M28,0)</f>
        <v>70.255134375003678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597515</v>
      </c>
      <c r="O30" s="30">
        <f t="shared" ca="1" si="17"/>
        <v>70.255134375003678</v>
      </c>
      <c r="P30" s="30">
        <f t="shared" ca="1" si="18"/>
        <v>70.255134375003678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850493</v>
      </c>
      <c r="M31" s="38">
        <f t="shared" ca="1" si="20"/>
        <v>850493</v>
      </c>
      <c r="N31" s="38">
        <f t="shared" si="20"/>
        <v>597515</v>
      </c>
      <c r="O31" s="38">
        <f t="shared" ca="1" si="17"/>
        <v>70.255134375003678</v>
      </c>
      <c r="P31" s="38">
        <f t="shared" ca="1" si="18"/>
        <v>70.255134375003678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850493</v>
      </c>
      <c r="M33" s="45">
        <f t="shared" ca="1" si="21"/>
        <v>850493</v>
      </c>
      <c r="N33" s="45">
        <f t="shared" si="21"/>
        <v>597515</v>
      </c>
      <c r="O33" s="45">
        <f t="shared" ca="1" si="17"/>
        <v>70.255134375003678</v>
      </c>
      <c r="P33" s="45">
        <f t="shared" ca="1" si="18"/>
        <v>70.255134375003678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2395555</v>
      </c>
      <c r="N37" s="59">
        <f t="shared" ca="1" si="24"/>
        <v>1977748.85</v>
      </c>
      <c r="O37" s="59">
        <f t="shared" ca="1" si="17"/>
        <v>87.107387803064739</v>
      </c>
      <c r="P37" s="59">
        <f t="shared" ca="1" si="18"/>
        <v>82.559108432075234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299315</v>
      </c>
      <c r="N41" s="85">
        <f t="shared" ca="1" si="25"/>
        <v>246707</v>
      </c>
      <c r="O41" s="85">
        <f t="shared" ref="O41:O49" ca="1" si="26">IF(L41&gt;0,N41*100/L41,0)</f>
        <v>75.205918754305856</v>
      </c>
      <c r="P41" s="85">
        <f t="shared" ref="P41:P49" ca="1" si="27">IF(M41&gt;0,N41*100/M41,0)</f>
        <v>82.423867831548705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299315</v>
      </c>
      <c r="N43" s="92">
        <f t="shared" ca="1" si="28"/>
        <v>246707</v>
      </c>
      <c r="O43" s="92">
        <f t="shared" ca="1" si="26"/>
        <v>75.205918754305856</v>
      </c>
      <c r="P43" s="92">
        <f t="shared" ca="1" si="27"/>
        <v>82.423867831548705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328042</v>
      </c>
      <c r="M44" s="38">
        <f t="shared" ca="1" si="29"/>
        <v>299315</v>
      </c>
      <c r="N44" s="38">
        <f t="shared" ca="1" si="29"/>
        <v>246707</v>
      </c>
      <c r="O44" s="38">
        <f t="shared" ca="1" si="26"/>
        <v>75.205918754305856</v>
      </c>
      <c r="P44" s="38">
        <f t="shared" ca="1" si="27"/>
        <v>82.423867831548705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IFERROR(__xludf.DUMMYFUNCTION("IMPORTRANGE(""https://docs.google.com/spreadsheets/d/1MeEWN-I1oV_STSDYn1IFDPWt_1FKiwhDph83XaGc0o0/edit?usp=sharing"",""งบพรบ!M66"")"),328042)</f>
        <v>328042</v>
      </c>
      <c r="M46" s="45">
        <f ca="1">IFERROR(__xludf.DUMMYFUNCTION("IMPORTRANGE(""https://docs.google.com/spreadsheets/d/1MeEWN-I1oV_STSDYn1IFDPWt_1FKiwhDph83XaGc0o0/edit?usp=sharing"",""งบพรบ!R66"")"),299315)</f>
        <v>299315</v>
      </c>
      <c r="N46" s="45">
        <f ca="1">IFERROR(__xludf.DUMMYFUNCTION("IMPORTRANGE(""https://docs.google.com/spreadsheets/d/1MeEWN-I1oV_STSDYn1IFDPWt_1FKiwhDph83XaGc0o0/edit?usp=sharing"",""งบพรบ!T66"")"),246707)</f>
        <v>246707</v>
      </c>
      <c r="O46" s="45">
        <f t="shared" ca="1" si="26"/>
        <v>75.205918754305856</v>
      </c>
      <c r="P46" s="45">
        <f t="shared" ca="1" si="27"/>
        <v>82.423867831548705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317400</v>
      </c>
      <c r="M53" s="115">
        <f t="shared" ca="1" si="31"/>
        <v>317400</v>
      </c>
      <c r="N53" s="115">
        <f t="shared" ca="1" si="31"/>
        <v>268711.09999999998</v>
      </c>
      <c r="O53" s="115">
        <f t="shared" ref="O53:O61" ca="1" si="32">IF(L53&gt;0,N53*100/L53,0)</f>
        <v>84.66008191556395</v>
      </c>
      <c r="P53" s="115">
        <f t="shared" ref="P53:P61" ca="1" si="33">IF(M53&gt;0,N53*100/M53,0)</f>
        <v>84.66008191556395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317400</v>
      </c>
      <c r="M55" s="122">
        <f t="shared" ca="1" si="34"/>
        <v>317400</v>
      </c>
      <c r="N55" s="122">
        <f t="shared" ca="1" si="34"/>
        <v>268711.09999999998</v>
      </c>
      <c r="O55" s="122">
        <f t="shared" ca="1" si="32"/>
        <v>84.66008191556395</v>
      </c>
      <c r="P55" s="122">
        <f t="shared" ca="1" si="33"/>
        <v>84.66008191556395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317400</v>
      </c>
      <c r="M56" s="38">
        <f t="shared" ca="1" si="35"/>
        <v>317400</v>
      </c>
      <c r="N56" s="38">
        <f t="shared" ca="1" si="35"/>
        <v>268711.09999999998</v>
      </c>
      <c r="O56" s="38">
        <f t="shared" ca="1" si="32"/>
        <v>84.66008191556395</v>
      </c>
      <c r="P56" s="38">
        <f t="shared" ca="1" si="33"/>
        <v>84.66008191556395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IFERROR(__xludf.DUMMYFUNCTION("IMPORTRANGE(""https://docs.google.com/spreadsheets/d/1MeEWN-I1oV_STSDYn1IFDPWt_1FKiwhDph83XaGc0o0/edit?usp=sharing"",""งบพรบ!W66"")"),317400)</f>
        <v>317400</v>
      </c>
      <c r="M58" s="45">
        <f ca="1">IFERROR(__xludf.DUMMYFUNCTION("IMPORTRANGE(""https://docs.google.com/spreadsheets/d/1MeEWN-I1oV_STSDYn1IFDPWt_1FKiwhDph83XaGc0o0/edit?usp=sharing"",""งบพรบ!AB66"")"),317400)</f>
        <v>317400</v>
      </c>
      <c r="N58" s="45">
        <f ca="1">IFERROR(__xludf.DUMMYFUNCTION("IMPORTRANGE(""https://docs.google.com/spreadsheets/d/1MeEWN-I1oV_STSDYn1IFDPWt_1FKiwhDph83XaGc0o0/edit?usp=sharing"",""งบพรบ!AD66"")"),268711.1)</f>
        <v>268711.09999999998</v>
      </c>
      <c r="O58" s="45">
        <f t="shared" ca="1" si="32"/>
        <v>84.66008191556395</v>
      </c>
      <c r="P58" s="45">
        <f t="shared" ca="1" si="33"/>
        <v>84.66008191556395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IFERROR(__xludf.DUMMYFUNCTION("IMPORTRANGE(""https://docs.google.com/spreadsheets/d/1MeEWN-I1oV_STSDYn1IFDPWt_1FKiwhDph83XaGc0o0/edit?usp=sharing"",""งบพรบ!AG66"")"),0)</f>
        <v>0</v>
      </c>
      <c r="M71" s="45">
        <f ca="1">IFERROR(__xludf.DUMMYFUNCTION("IMPORTRANGE(""https://docs.google.com/spreadsheets/d/1MeEWN-I1oV_STSDYn1IFDPWt_1FKiwhDph83XaGc0o0/edit?usp=sharing"",""งบพรบ!AL66"")"),0)</f>
        <v>0</v>
      </c>
      <c r="N71" s="45">
        <f ca="1">IFERROR(__xludf.DUMMYFUNCTION("IMPORTRANGE(""https://docs.google.com/spreadsheets/d/1MeEWN-I1oV_STSDYn1IFDPWt_1FKiwhDph83XaGc0o0/edit?usp=sharing"",""งบพรบ!AN66"")"),0)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IFERROR(__xludf.DUMMYFUNCTION("IMPORTRANGE(""https://docs.google.com/spreadsheets/d/1MeEWN-I1oV_STSDYn1IFDPWt_1FKiwhDph83XaGc0o0/edit?usp=sharing"",""งบพรบ!AJ66"")"),0)</f>
        <v>0</v>
      </c>
      <c r="M74" s="45">
        <f ca="1">IFERROR(__xludf.DUMMYFUNCTION("IMPORTRANGE(""https://docs.google.com/spreadsheets/d/1MeEWN-I1oV_STSDYn1IFDPWt_1FKiwhDph83XaGc0o0/edit?usp=sharing"",""งบพรบ!AM66"")"),0)</f>
        <v>0</v>
      </c>
      <c r="N74" s="45">
        <f ca="1">IFERROR(__xludf.DUMMYFUNCTION("IMPORTRANGE(""https://docs.google.com/spreadsheets/d/1MeEWN-I1oV_STSDYn1IFDPWt_1FKiwhDph83XaGc0o0/edit?usp=sharing"",""งบพรบ!AO66"")"),0)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98760</v>
      </c>
      <c r="M88" s="154">
        <f t="shared" ca="1" si="49"/>
        <v>98760</v>
      </c>
      <c r="N88" s="154">
        <f t="shared" ca="1" si="49"/>
        <v>90560</v>
      </c>
      <c r="O88" s="154">
        <f t="shared" ref="O88:O96" ca="1" si="50">IF(L88&gt;0,N88*100/L88,0)</f>
        <v>91.697043337383562</v>
      </c>
      <c r="P88" s="154">
        <f t="shared" ref="P88:P96" ca="1" si="51">IF(M88&gt;0,N88*100/M88,0)</f>
        <v>91.697043337383562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98760</v>
      </c>
      <c r="M90" s="45">
        <f t="shared" ca="1" si="52"/>
        <v>98760</v>
      </c>
      <c r="N90" s="45">
        <f t="shared" ca="1" si="52"/>
        <v>90560</v>
      </c>
      <c r="O90" s="45">
        <f t="shared" ca="1" si="50"/>
        <v>91.697043337383562</v>
      </c>
      <c r="P90" s="45">
        <f t="shared" ca="1" si="51"/>
        <v>91.697043337383562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98760</v>
      </c>
      <c r="M91" s="38">
        <f t="shared" ca="1" si="53"/>
        <v>98760</v>
      </c>
      <c r="N91" s="38">
        <f t="shared" ca="1" si="53"/>
        <v>90560</v>
      </c>
      <c r="O91" s="38">
        <f t="shared" ca="1" si="50"/>
        <v>91.697043337383562</v>
      </c>
      <c r="P91" s="38">
        <f t="shared" ca="1" si="51"/>
        <v>91.697043337383562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IFERROR(__xludf.DUMMYFUNCTION("IMPORTRANGE(""https://docs.google.com/spreadsheets/d/1MeEWN-I1oV_STSDYn1IFDPWt_1FKiwhDph83XaGc0o0/edit?usp=sharing"",""งบพรบ!AQ66"")"),98760)</f>
        <v>98760</v>
      </c>
      <c r="M93" s="45">
        <f ca="1">IFERROR(__xludf.DUMMYFUNCTION("IMPORTRANGE(""https://docs.google.com/spreadsheets/d/1MeEWN-I1oV_STSDYn1IFDPWt_1FKiwhDph83XaGc0o0/edit?usp=sharing"",""งบพรบ!AV66"")"),98760)</f>
        <v>98760</v>
      </c>
      <c r="N93" s="45">
        <f ca="1">IFERROR(__xludf.DUMMYFUNCTION("IMPORTRANGE(""https://docs.google.com/spreadsheets/d/1MeEWN-I1oV_STSDYn1IFDPWt_1FKiwhDph83XaGc0o0/edit?usp=sharing"",""งบพรบ!AX66"")"),90560)</f>
        <v>90560</v>
      </c>
      <c r="O93" s="45">
        <f t="shared" ca="1" si="50"/>
        <v>91.697043337383562</v>
      </c>
      <c r="P93" s="45">
        <f t="shared" ca="1" si="51"/>
        <v>91.697043337383562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IFERROR(__xludf.DUMMYFUNCTION("IMPORTRANGE(""https://docs.google.com/spreadsheets/d/1MeEWN-I1oV_STSDYn1IFDPWt_1FKiwhDph83XaGc0o0/edit?usp=sharing"",""งบพรบ!AT66"")"),0)</f>
        <v>0</v>
      </c>
      <c r="M96" s="45">
        <f ca="1">IFERROR(__xludf.DUMMYFUNCTION("IMPORTRANGE(""https://docs.google.com/spreadsheets/d/1MeEWN-I1oV_STSDYn1IFDPWt_1FKiwhDph83XaGc0o0/edit?usp=sharing"",""งบพรบ!AW66"")"),0)</f>
        <v>0</v>
      </c>
      <c r="N96" s="45">
        <f ca="1">IFERROR(__xludf.DUMMYFUNCTION("IMPORTRANGE(""https://docs.google.com/spreadsheets/d/1MeEWN-I1oV_STSDYn1IFDPWt_1FKiwhDph83XaGc0o0/edit?usp=sharing"",""งบพรบ!AY66"")"),0)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IFERROR(__xludf.DUMMYFUNCTION("IMPORTRANGE(""https://docs.google.com/spreadsheets/d/1QqKyyYR6Q21VydFLVH3TRQUabQu_ym0Zz7PgGX0-kHA/edit?usp=sharing"",""แผน!K66"")"),45)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IFERROR(__xludf.DUMMYFUNCTION("IMPORTRANGE(""https://docs.google.com/spreadsheets/d/1QqKyyYR6Q21VydFLVH3TRQUabQu_ym0Zz7PgGX0-kHA/edit?usp=sharing"",""แผน!L66"")"),15)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IFERROR(__xludf.DUMMYFUNCTION("IMPORTRANGE(""https://docs.google.com/spreadsheets/d/1QqKyyYR6Q21VydFLVH3TRQUabQu_ym0Zz7PgGX0-kHA/edit?usp=sharing"",""แผน!M66"")"),2)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IFERROR(__xludf.DUMMYFUNCTION("IMPORTRANGE(""https://docs.google.com/spreadsheets/d/1QqKyyYR6Q21VydFLVH3TRQUabQu_ym0Zz7PgGX0-kHA/edit?usp=sharing"",""แผน!N66"")"),45)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IFERROR(__xludf.DUMMYFUNCTION("IMPORTRANGE(""https://docs.google.com/spreadsheets/d/1QqKyyYR6Q21VydFLVH3TRQUabQu_ym0Zz7PgGX0-kHA/edit?usp=sharing"",""แผน!O66"")"),15)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IFERROR(__xludf.DUMMYFUNCTION("IMPORTRANGE(""https://docs.google.com/spreadsheets/d/1QqKyyYR6Q21VydFLVH3TRQUabQu_ym0Zz7PgGX0-kHA/edit?usp=sharing"",""แผน!O66"")"),15)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IFERROR(__xludf.DUMMYFUNCTION("IMPORTRANGE(""https://docs.google.com/spreadsheets/d/1QqKyyYR6Q21VydFLVH3TRQUabQu_ym0Zz7PgGX0-kHA/edit?usp=sharing"",""แผน!P66"")"),1)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IFERROR(__xludf.DUMMYFUNCTION("IMPORTRANGE(""https://docs.google.com/spreadsheets/d/1QqKyyYR6Q21VydFLVH3TRQUabQu_ym0Zz7PgGX0-kHA/edit?usp=sharing"",""แผน!P66"")"),1)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IFERROR(__xludf.DUMMYFUNCTION("IMPORTRANGE(""https://docs.google.com/spreadsheets/d/1QqKyyYR6Q21VydFLVH3TRQUabQu_ym0Zz7PgGX0-kHA/edit?usp=sharing"",""แผน!Q66"")"),1)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IFERROR(__xludf.DUMMYFUNCTION("IMPORTRANGE(""https://docs.google.com/spreadsheets/d/1QqKyyYR6Q21VydFLVH3TRQUabQu_ym0Zz7PgGX0-kHA/edit?usp=sharing"",""แผน!Q66"")"),1)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IFERROR(__xludf.DUMMYFUNCTION("IMPORTRANGE(""https://docs.google.com/spreadsheets/d/1QqKyyYR6Q21VydFLVH3TRQUabQu_ym0Zz7PgGX0-kHA/edit?usp=sharing"",""แผน!R66"")"),15)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IFERROR(__xludf.DUMMYFUNCTION("IMPORTRANGE(""https://docs.google.com/spreadsheets/d/1QqKyyYR6Q21VydFLVH3TRQUabQu_ym0Zz7PgGX0-kHA/edit?usp=sharing"",""แผน!R66"")"),15)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IFERROR(__xludf.DUMMYFUNCTION("IMPORTRANGE(""https://docs.google.com/spreadsheets/d/1QqKyyYR6Q21VydFLVH3TRQUabQu_ym0Zz7PgGX0-kHA/edit?usp=sharing"",""แผน!R66"")"),15)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IFERROR(__xludf.DUMMYFUNCTION("IMPORTRANGE(""https://docs.google.com/spreadsheets/d/1QqKyyYR6Q21VydFLVH3TRQUabQu_ym0Zz7PgGX0-kHA/edit?usp=sharing"",""แผน!S66"")"),1)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IFERROR(__xludf.DUMMYFUNCTION("IMPORTRANGE(""https://docs.google.com/spreadsheets/d/1QqKyyYR6Q21VydFLVH3TRQUabQu_ym0Zz7PgGX0-kHA/edit?usp=sharing"",""แผน!T66"")"),1)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IFERROR(__xludf.DUMMYFUNCTION("IMPORTRANGE(""https://docs.google.com/spreadsheets/d/1MeEWN-I1oV_STSDYn1IFDPWt_1FKiwhDph83XaGc0o0/edit?usp=sharing"",""งบพรบ!BA66"")"),0)</f>
        <v>0</v>
      </c>
      <c r="M124" s="45">
        <f ca="1">IFERROR(__xludf.DUMMYFUNCTION("IMPORTRANGE(""https://docs.google.com/spreadsheets/d/1MeEWN-I1oV_STSDYn1IFDPWt_1FKiwhDph83XaGc0o0/edit?usp=sharing"",""งบพรบ!BF66"")"),0)</f>
        <v>0</v>
      </c>
      <c r="N124" s="45">
        <f ca="1">IFERROR(__xludf.DUMMYFUNCTION("IMPORTRANGE(""https://docs.google.com/spreadsheets/d/1MeEWN-I1oV_STSDYn1IFDPWt_1FKiwhDph83XaGc0o0/edit?usp=sharing"",""งบพรบ!BH66"")"),0)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IFERROR(__xludf.DUMMYFUNCTION("IMPORTRANGE(""https://docs.google.com/spreadsheets/d/1MeEWN-I1oV_STSDYn1IFDPWt_1FKiwhDph83XaGc0o0/edit?usp=sharing"",""งบพรบ!BD66"")"),0)</f>
        <v>0</v>
      </c>
      <c r="M127" s="45">
        <f ca="1">IFERROR(__xludf.DUMMYFUNCTION("IMPORTRANGE(""https://docs.google.com/spreadsheets/d/1MeEWN-I1oV_STSDYn1IFDPWt_1FKiwhDph83XaGc0o0/edit?usp=sharing"",""งบพรบ!BG66"")"),0)</f>
        <v>0</v>
      </c>
      <c r="N127" s="45">
        <f ca="1">IFERROR(__xludf.DUMMYFUNCTION("IMPORTRANGE(""https://docs.google.com/spreadsheets/d/1MeEWN-I1oV_STSDYn1IFDPWt_1FKiwhDph83XaGc0o0/edit?usp=sharing"",""งบพรบ!BI66"")"),0)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IFERROR(__xludf.DUMMYFUNCTION("IMPORTRANGE(""https://docs.google.com/spreadsheets/d/1MeEWN-I1oV_STSDYn1IFDPWt_1FKiwhDph83XaGc0o0/edit?usp=sharing"",""งบพรบ!BK66"")"),0)</f>
        <v>0</v>
      </c>
      <c r="M137" s="45">
        <f ca="1">IFERROR(__xludf.DUMMYFUNCTION("IMPORTRANGE(""https://docs.google.com/spreadsheets/d/1MeEWN-I1oV_STSDYn1IFDPWt_1FKiwhDph83XaGc0o0/edit?usp=sharing"",""งบพรบ!BP66"")"),0)</f>
        <v>0</v>
      </c>
      <c r="N137" s="45">
        <f ca="1">IFERROR(__xludf.DUMMYFUNCTION("IMPORTRANGE(""https://docs.google.com/spreadsheets/d/1MeEWN-I1oV_STSDYn1IFDPWt_1FKiwhDph83XaGc0o0/edit?usp=sharing"",""งบพรบ!BR66"")"),0)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IFERROR(__xludf.DUMMYFUNCTION("IMPORTRANGE(""https://docs.google.com/spreadsheets/d/1MeEWN-I1oV_STSDYn1IFDPWt_1FKiwhDph83XaGc0o0/edit?usp=sharing"",""งบพรบ!BN66"")"),0)</f>
        <v>0</v>
      </c>
      <c r="M140" s="45">
        <f ca="1">IFERROR(__xludf.DUMMYFUNCTION("IMPORTRANGE(""https://docs.google.com/spreadsheets/d/1MeEWN-I1oV_STSDYn1IFDPWt_1FKiwhDph83XaGc0o0/edit?usp=sharing"",""งบพรบ!BQ66"")"),0)</f>
        <v>0</v>
      </c>
      <c r="N140" s="45">
        <f ca="1">IFERROR(__xludf.DUMMYFUNCTION("IMPORTRANGE(""https://docs.google.com/spreadsheets/d/1MeEWN-I1oV_STSDYn1IFDPWt_1FKiwhDph83XaGc0o0/edit?usp=sharing"",""งบพรบ!BS66"")"),0)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IFERROR(__xludf.DUMMYFUNCTION("IMPORTRANGE(""https://docs.google.com/spreadsheets/d/1QqKyyYR6Q21VydFLVH3TRQUabQu_ym0Zz7PgGX0-kHA/edit?usp=sharing"",""แผน!U66"")"),0)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IFERROR(__xludf.DUMMYFUNCTION("IMPORTRANGE(""https://docs.google.com/spreadsheets/d/1QqKyyYR6Q21VydFLVH3TRQUabQu_ym0Zz7PgGX0-kHA/edit?usp=sharing"",""แผน!V66"")"),0)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IFERROR(__xludf.DUMMYFUNCTION("IMPORTRANGE(""https://docs.google.com/spreadsheets/d/1QqKyyYR6Q21VydFLVH3TRQUabQu_ym0Zz7PgGX0-kHA/edit?usp=sharing"",""แผน!W66"")"),0)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IFERROR(__xludf.DUMMYFUNCTION("IMPORTRANGE(""https://docs.google.com/spreadsheets/d/1MeEWN-I1oV_STSDYn1IFDPWt_1FKiwhDph83XaGc0o0/edit?usp=sharing"",""งบพรบ!BU66"")"),0)</f>
        <v>0</v>
      </c>
      <c r="M154" s="45">
        <f ca="1">IFERROR(__xludf.DUMMYFUNCTION("IMPORTRANGE(""https://docs.google.com/spreadsheets/d/1MeEWN-I1oV_STSDYn1IFDPWt_1FKiwhDph83XaGc0o0/edit?usp=sharing"",""งบพรบ!BZ66"")"),0)</f>
        <v>0</v>
      </c>
      <c r="N154" s="45">
        <f ca="1">IFERROR(__xludf.DUMMYFUNCTION("IMPORTRANGE(""https://docs.google.com/spreadsheets/d/1MeEWN-I1oV_STSDYn1IFDPWt_1FKiwhDph83XaGc0o0/edit?usp=sharing"",""งบพรบ!CB66"")"),0)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IFERROR(__xludf.DUMMYFUNCTION("IMPORTRANGE(""https://docs.google.com/spreadsheets/d/1MeEWN-I1oV_STSDYn1IFDPWt_1FKiwhDph83XaGc0o0/edit?usp=sharing"",""งบพรบ!BX66"")"),0)</f>
        <v>0</v>
      </c>
      <c r="M157" s="45">
        <f ca="1">IFERROR(__xludf.DUMMYFUNCTION("IMPORTRANGE(""https://docs.google.com/spreadsheets/d/1MeEWN-I1oV_STSDYn1IFDPWt_1FKiwhDph83XaGc0o0/edit?usp=sharing"",""งบพรบ!CA66"")"),0)</f>
        <v>0</v>
      </c>
      <c r="N157" s="45">
        <f ca="1">IFERROR(__xludf.DUMMYFUNCTION("IMPORTRANGE(""https://docs.google.com/spreadsheets/d/1MeEWN-I1oV_STSDYn1IFDPWt_1FKiwhDph83XaGc0o0/edit?usp=sharing"",""งบพรบ!CC66"")"),0)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31560</v>
      </c>
      <c r="N165" s="154">
        <f t="shared" ca="1" si="84"/>
        <v>31560</v>
      </c>
      <c r="O165" s="154">
        <f t="shared" ref="O165:O173" ca="1" si="85">IF(L165&gt;0,N165*100/L165,0)</f>
        <v>149.92874109263659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31560</v>
      </c>
      <c r="N167" s="45">
        <f t="shared" ca="1" si="87"/>
        <v>31560</v>
      </c>
      <c r="O167" s="45">
        <f t="shared" ca="1" si="85"/>
        <v>149.92874109263659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31560</v>
      </c>
      <c r="N168" s="38">
        <f t="shared" ca="1" si="88"/>
        <v>31560</v>
      </c>
      <c r="O168" s="38">
        <f t="shared" ca="1" si="85"/>
        <v>149.92874109263659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IFERROR(__xludf.DUMMYFUNCTION("IMPORTRANGE(""https://docs.google.com/spreadsheets/d/1MeEWN-I1oV_STSDYn1IFDPWt_1FKiwhDph83XaGc0o0/edit?usp=sharing"",""งบพรบ!CE66"")"),21050)</f>
        <v>21050</v>
      </c>
      <c r="M170" s="45">
        <f ca="1">IFERROR(__xludf.DUMMYFUNCTION("IMPORTRANGE(""https://docs.google.com/spreadsheets/d/1MeEWN-I1oV_STSDYn1IFDPWt_1FKiwhDph83XaGc0o0/edit?usp=sharing"",""งบพรบ!CJ66"")"),31560)</f>
        <v>31560</v>
      </c>
      <c r="N170" s="45">
        <f ca="1">IFERROR(__xludf.DUMMYFUNCTION("IMPORTRANGE(""https://docs.google.com/spreadsheets/d/1MeEWN-I1oV_STSDYn1IFDPWt_1FKiwhDph83XaGc0o0/edit?usp=sharing"",""งบพรบ!CL66"")"),31560)</f>
        <v>31560</v>
      </c>
      <c r="O170" s="45">
        <f t="shared" ca="1" si="85"/>
        <v>149.92874109263659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IFERROR(__xludf.DUMMYFUNCTION("IMPORTRANGE(""https://docs.google.com/spreadsheets/d/1MeEWN-I1oV_STSDYn1IFDPWt_1FKiwhDph83XaGc0o0/edit?usp=sharing"",""งบพรบ!CH66"")"),0)</f>
        <v>0</v>
      </c>
      <c r="M173" s="45">
        <f ca="1">IFERROR(__xludf.DUMMYFUNCTION("IMPORTRANGE(""https://docs.google.com/spreadsheets/d/1MeEWN-I1oV_STSDYn1IFDPWt_1FKiwhDph83XaGc0o0/edit?usp=sharing"",""งบพรบ!CK66"")"),0)</f>
        <v>0</v>
      </c>
      <c r="N173" s="45">
        <f ca="1">IFERROR(__xludf.DUMMYFUNCTION("IMPORTRANGE(""https://docs.google.com/spreadsheets/d/1MeEWN-I1oV_STSDYn1IFDPWt_1FKiwhDph83XaGc0o0/edit?usp=sharing"",""งบพรบ!CM66"")"),0)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IFERROR(__xludf.DUMMYFUNCTION("IMPORTRANGE(""https://docs.google.com/spreadsheets/d/1QqKyyYR6Q21VydFLVH3TRQUabQu_ym0Zz7PgGX0-kHA/edit?usp=sharing"",""แผน!Y66"")"),10)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20</v>
      </c>
      <c r="J180" s="242">
        <f t="shared" si="91"/>
        <v>20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253200</v>
      </c>
      <c r="M181" s="154">
        <f t="shared" ca="1" si="92"/>
        <v>258920</v>
      </c>
      <c r="N181" s="154">
        <f t="shared" ca="1" si="92"/>
        <v>231251</v>
      </c>
      <c r="O181" s="154">
        <f t="shared" ref="O181:O189" ca="1" si="93">IF(L181&gt;0,N181*100/L181,0)</f>
        <v>91.331358609794634</v>
      </c>
      <c r="P181" s="154">
        <f t="shared" ref="P181:P189" ca="1" si="94">IF(M181&gt;0,N181*100/M181,0)</f>
        <v>89.313687625521396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253200</v>
      </c>
      <c r="M183" s="45">
        <f t="shared" ca="1" si="95"/>
        <v>258920</v>
      </c>
      <c r="N183" s="45">
        <f t="shared" ca="1" si="95"/>
        <v>231251</v>
      </c>
      <c r="O183" s="45">
        <f t="shared" ca="1" si="93"/>
        <v>91.331358609794634</v>
      </c>
      <c r="P183" s="45">
        <f t="shared" ca="1" si="94"/>
        <v>89.313687625521396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253200</v>
      </c>
      <c r="M184" s="38">
        <f t="shared" ca="1" si="96"/>
        <v>258920</v>
      </c>
      <c r="N184" s="38">
        <f t="shared" ca="1" si="96"/>
        <v>231251</v>
      </c>
      <c r="O184" s="38">
        <f t="shared" ca="1" si="93"/>
        <v>91.331358609794634</v>
      </c>
      <c r="P184" s="38">
        <f t="shared" ca="1" si="94"/>
        <v>89.313687625521396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IFERROR(__xludf.DUMMYFUNCTION("IMPORTRANGE(""https://docs.google.com/spreadsheets/d/1MeEWN-I1oV_STSDYn1IFDPWt_1FKiwhDph83XaGc0o0/edit?usp=sharing"",""งบพรบ!CO66"")"),253200)</f>
        <v>253200</v>
      </c>
      <c r="M186" s="45">
        <f ca="1">IFERROR(__xludf.DUMMYFUNCTION("IMPORTRANGE(""https://docs.google.com/spreadsheets/d/1MeEWN-I1oV_STSDYn1IFDPWt_1FKiwhDph83XaGc0o0/edit?usp=sharing"",""งบพรบ!CT66"")"),258920)</f>
        <v>258920</v>
      </c>
      <c r="N186" s="45">
        <f ca="1">IFERROR(__xludf.DUMMYFUNCTION("IMPORTRANGE(""https://docs.google.com/spreadsheets/d/1MeEWN-I1oV_STSDYn1IFDPWt_1FKiwhDph83XaGc0o0/edit?usp=sharing"",""งบพรบ!CV66"")"),231251)</f>
        <v>231251</v>
      </c>
      <c r="O186" s="45">
        <f t="shared" ca="1" si="93"/>
        <v>91.331358609794634</v>
      </c>
      <c r="P186" s="45">
        <f t="shared" ca="1" si="94"/>
        <v>89.313687625521396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IFERROR(__xludf.DUMMYFUNCTION("IMPORTRANGE(""https://docs.google.com/spreadsheets/d/1MeEWN-I1oV_STSDYn1IFDPWt_1FKiwhDph83XaGc0o0/edit?usp=sharing"",""งบพรบ!CR66"")"),0)</f>
        <v>0</v>
      </c>
      <c r="M189" s="45">
        <f ca="1">IFERROR(__xludf.DUMMYFUNCTION("IMPORTRANGE(""https://docs.google.com/spreadsheets/d/1MeEWN-I1oV_STSDYn1IFDPWt_1FKiwhDph83XaGc0o0/edit?usp=sharing"",""งบพรบ!CU66"")"),0)</f>
        <v>0</v>
      </c>
      <c r="N189" s="45">
        <f ca="1">IFERROR(__xludf.DUMMYFUNCTION("IMPORTRANGE(""https://docs.google.com/spreadsheets/d/1MeEWN-I1oV_STSDYn1IFDPWt_1FKiwhDph83XaGc0o0/edit?usp=sharing"",""งบพรบ!CW66"")"),0)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IFERROR(__xludf.DUMMYFUNCTION("IMPORTRANGE(""https://docs.google.com/spreadsheets/d/1QqKyyYR6Q21VydFLVH3TRQUabQu_ym0Zz7PgGX0-kHA/edit?usp=sharing"",""แผน!Z66"")"),6000)</f>
        <v>6000</v>
      </c>
      <c r="M191" s="154"/>
      <c r="N191" s="264">
        <v>1360</v>
      </c>
      <c r="O191" s="154">
        <f ca="1">IF(L191&gt;0,N191*100/L191,0)</f>
        <v>22.666666666666668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IFERROR(__xludf.DUMMYFUNCTION("IMPORTRANGE(""https://docs.google.com/spreadsheets/d/1QqKyyYR6Q21VydFLVH3TRQUabQu_ym0Zz7PgGX0-kHA/edit?usp=sharing"",""แผน!AC66"")"),4)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IFERROR(__xludf.DUMMYFUNCTION("IMPORTRANGE(""https://docs.google.com/spreadsheets/d/1QqKyyYR6Q21VydFLVH3TRQUabQu_ym0Zz7PgGX0-kHA/edit?usp=sharing"",""แผน!AE66"")"),1000)</f>
        <v>1000</v>
      </c>
      <c r="M199" s="38"/>
      <c r="N199" s="271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IFERROR(__xludf.DUMMYFUNCTION("IMPORTRANGE(""https://docs.google.com/spreadsheets/d/1QqKyyYR6Q21VydFLVH3TRQUabQu_ym0Zz7PgGX0-kHA/edit?usp=sharing"",""แผน!AF66"")"),8000)</f>
        <v>8000</v>
      </c>
      <c r="M200" s="38"/>
      <c r="N200" s="271">
        <v>8000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IFERROR(__xludf.DUMMYFUNCTION("IMPORTRANGE(""https://docs.google.com/spreadsheets/d/1QqKyyYR6Q21VydFLVH3TRQUabQu_ym0Zz7PgGX0-kHA/edit?usp=sharing"",""แผน!AG66"")"),4000)</f>
        <v>4000</v>
      </c>
      <c r="M201" s="38"/>
      <c r="N201" s="271">
        <v>4000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IFERROR(__xludf.DUMMYFUNCTION("IMPORTRANGE(""https://docs.google.com/spreadsheets/d/1QqKyyYR6Q21VydFLVH3TRQUabQu_ym0Zz7PgGX0-kHA/edit?usp=sharing"",""แผน!AH66"")"),0)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IFERROR(__xludf.DUMMYFUNCTION("IMPORTRANGE(""https://docs.google.com/spreadsheets/d/1QqKyyYR6Q21VydFLVH3TRQUabQu_ym0Zz7PgGX0-kHA/edit?usp=sharing"",""แผน!AI66"")"),1)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IFERROR(__xludf.DUMMYFUNCTION("IMPORTRANGE(""https://docs.google.com/spreadsheets/d/1QqKyyYR6Q21VydFLVH3TRQUabQu_ym0Zz7PgGX0-kHA/edit?usp=sharing"",""แผน!AK66"")"),0)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IFERROR(__xludf.DUMMYFUNCTION("IMPORTRANGE(""https://docs.google.com/spreadsheets/d/1QqKyyYR6Q21VydFLVH3TRQUabQu_ym0Zz7PgGX0-kHA/edit?usp=sharing"",""แผน!AL66"")"),0)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IFERROR(__xludf.DUMMYFUNCTION("IMPORTRANGE(""https://docs.google.com/spreadsheets/d/1QqKyyYR6Q21VydFLVH3TRQUabQu_ym0Zz7PgGX0-kHA/edit?usp=sharing"",""แผน!AM66"")"),0)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IFERROR(__xludf.DUMMYFUNCTION("IMPORTRANGE(""https://docs.google.com/spreadsheets/d/1QqKyyYR6Q21VydFLVH3TRQUabQu_ym0Zz7PgGX0-kHA/edit?usp=sharing"",""แผน!AN66"")"),0)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IFERROR(__xludf.DUMMYFUNCTION("IMPORTRANGE(""https://docs.google.com/spreadsheets/d/1QqKyyYR6Q21VydFLVH3TRQUabQu_ym0Zz7PgGX0-kHA/edit?usp=sharing"",""แผน!AN66"")"),0)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6400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6200</v>
      </c>
      <c r="M217" s="154"/>
      <c r="N217" s="154">
        <f>N218+N219+N220</f>
        <v>6200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IFERROR(__xludf.DUMMYFUNCTION("IMPORTRANGE(""https://docs.google.com/spreadsheets/d/1QqKyyYR6Q21VydFLVH3TRQUabQu_ym0Zz7PgGX0-kHA/edit?usp=sharing"",""แผน!AP66"")"),3000)</f>
        <v>3000</v>
      </c>
      <c r="M218" s="38"/>
      <c r="N218" s="271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IFERROR(__xludf.DUMMYFUNCTION("IMPORTRANGE(""https://docs.google.com/spreadsheets/d/1QqKyyYR6Q21VydFLVH3TRQUabQu_ym0Zz7PgGX0-kHA/edit?usp=sharing"",""แผน!AQ66"")"),3200)</f>
        <v>3200</v>
      </c>
      <c r="M219" s="38"/>
      <c r="N219" s="271">
        <v>3200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IFERROR(__xludf.DUMMYFUNCTION("IMPORTRANGE(""https://docs.google.com/spreadsheets/d/1QqKyyYR6Q21VydFLVH3TRQUabQu_ym0Zz7PgGX0-kHA/edit?usp=sharing"",""แผน!AR66"")"),0)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IFERROR(__xludf.DUMMYFUNCTION("IMPORTRANGE(""https://docs.google.com/spreadsheets/d/1QqKyyYR6Q21VydFLVH3TRQUabQu_ym0Zz7PgGX0-kHA/edit?usp=sharing"",""แผน!AT66"")"),6400)</f>
        <v>6400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IFERROR(__xludf.DUMMYFUNCTION("IMPORTRANGE(""https://docs.google.com/spreadsheets/d/1QqKyyYR6Q21VydFLVH3TRQUabQu_ym0Zz7PgGX0-kHA/edit?usp=sharing"",""แผน!AT66"")"),6400)</f>
        <v>6400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IFERROR(__xludf.DUMMYFUNCTION("IMPORTRANGE(""https://docs.google.com/spreadsheets/d/1QqKyyYR6Q21VydFLVH3TRQUabQu_ym0Zz7PgGX0-kHA/edit?usp=sharing"",""แผน!AS66"")"),0)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20</v>
      </c>
      <c r="J226" s="330">
        <f t="shared" si="105"/>
        <v>20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78000</v>
      </c>
      <c r="M227" s="341"/>
      <c r="N227" s="341">
        <f t="shared" ref="N227:N231" si="107">N238+N249</f>
        <v>58000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20000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28000</v>
      </c>
      <c r="M229" s="45"/>
      <c r="N229" s="45">
        <f t="shared" si="107"/>
        <v>28000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20000</v>
      </c>
      <c r="M230" s="45"/>
      <c r="N230" s="45">
        <f t="shared" si="107"/>
        <v>20000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20</v>
      </c>
      <c r="J233" s="44">
        <f t="shared" si="108"/>
        <v>20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20</v>
      </c>
      <c r="J235" s="44">
        <f t="shared" si="109"/>
        <v>20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20</v>
      </c>
      <c r="J237" s="260">
        <f t="shared" si="111"/>
        <v>20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78000</v>
      </c>
      <c r="M238" s="154"/>
      <c r="N238" s="154">
        <f>N239+N240+N241+N242</f>
        <v>58000</v>
      </c>
      <c r="O238" s="154">
        <f ca="1">IF(L238&gt;0,N238*100/L238,0)</f>
        <v>74.358974358974365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IFERROR(__xludf.DUMMYFUNCTION("IMPORTRANGE(""https://docs.google.com/spreadsheets/d/1QqKyyYR6Q21VydFLVH3TRQUabQu_ym0Zz7PgGX0-kHA/edit?usp=sharing"",""แผน!AV66"")"),20000)</f>
        <v>20000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IFERROR(__xludf.DUMMYFUNCTION("IMPORTRANGE(""https://docs.google.com/spreadsheets/d/1QqKyyYR6Q21VydFLVH3TRQUabQu_ym0Zz7PgGX0-kHA/edit?usp=sharing"",""แผน!AW66"")"),28000)</f>
        <v>28000</v>
      </c>
      <c r="M240" s="270"/>
      <c r="N240" s="808">
        <v>28000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IFERROR(__xludf.DUMMYFUNCTION("IMPORTRANGE(""https://docs.google.com/spreadsheets/d/1QqKyyYR6Q21VydFLVH3TRQUabQu_ym0Zz7PgGX0-kHA/edit?usp=sharing"",""แผน!AX66"")"),20000)</f>
        <v>20000</v>
      </c>
      <c r="M241" s="270"/>
      <c r="N241" s="808">
        <v>20000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IFERROR(__xludf.DUMMYFUNCTION("IMPORTRANGE(""https://docs.google.com/spreadsheets/d/1QqKyyYR6Q21VydFLVH3TRQUabQu_ym0Zz7PgGX0-kHA/edit?usp=sharing"",""แผน!AY66"")"),10000)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IFERROR(__xludf.DUMMYFUNCTION("IMPORTRANGE(""https://docs.google.com/spreadsheets/d/1QqKyyYR6Q21VydFLVH3TRQUabQu_ym0Zz7PgGX0-kHA/edit?usp=sharing"",""แผน!BE66"")"),20)</f>
        <v>20</v>
      </c>
      <c r="J244" s="181">
        <v>20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20</v>
      </c>
      <c r="J246" s="181">
        <v>20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IFERROR(__xludf.DUMMYFUNCTION("IMPORTRANGE(""https://docs.google.com/spreadsheets/d/1QqKyyYR6Q21VydFLVH3TRQUabQu_ym0Zz7PgGX0-kHA/edit?usp=sharing"",""แผน!AZ66"")"),0)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IFERROR(__xludf.DUMMYFUNCTION("IMPORTRANGE(""https://docs.google.com/spreadsheets/d/1QqKyyYR6Q21VydFLVH3TRQUabQu_ym0Zz7PgGX0-kHA/edit?usp=sharing"",""แผน!BA66"")"),0)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IFERROR(__xludf.DUMMYFUNCTION("IMPORTRANGE(""https://docs.google.com/spreadsheets/d/1QqKyyYR6Q21VydFLVH3TRQUabQu_ym0Zz7PgGX0-kHA/edit?usp=sharing"",""แผน!BB66"")"),0)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IFERROR(__xludf.DUMMYFUNCTION("IMPORTRANGE(""https://docs.google.com/spreadsheets/d/1QqKyyYR6Q21VydFLVH3TRQUabQu_ym0Zz7PgGX0-kHA/edit?usp=sharing"",""แผน!BC66"")"),0)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21980</v>
      </c>
      <c r="O261" s="154">
        <f t="shared" ref="O261:O269" ca="1" si="117">IF(L261&gt;0,N261*100/L261,0)</f>
        <v>81.710037174721194</v>
      </c>
      <c r="P261" s="154">
        <f t="shared" ref="P261:P269" ca="1" si="118">IF(M261&gt;0,N261*100/M261,0)</f>
        <v>81.710037174721194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21980</v>
      </c>
      <c r="O263" s="45">
        <f t="shared" ca="1" si="117"/>
        <v>81.710037174721194</v>
      </c>
      <c r="P263" s="45">
        <f t="shared" ca="1" si="118"/>
        <v>81.710037174721194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21980</v>
      </c>
      <c r="O264" s="38">
        <f t="shared" ca="1" si="117"/>
        <v>81.710037174721194</v>
      </c>
      <c r="P264" s="38">
        <f t="shared" ca="1" si="118"/>
        <v>81.710037174721194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IFERROR(__xludf.DUMMYFUNCTION("IMPORTRANGE(""https://docs.google.com/spreadsheets/d/1MeEWN-I1oV_STSDYn1IFDPWt_1FKiwhDph83XaGc0o0/edit?usp=sharing"",""งบพรบ!CY66"")"),26900)</f>
        <v>26900</v>
      </c>
      <c r="M266" s="45">
        <f ca="1">IFERROR(__xludf.DUMMYFUNCTION("IMPORTRANGE(""https://docs.google.com/spreadsheets/d/1MeEWN-I1oV_STSDYn1IFDPWt_1FKiwhDph83XaGc0o0/edit?usp=sharing"",""งบพรบ!DD66"")"),26900)</f>
        <v>26900</v>
      </c>
      <c r="N266" s="45">
        <f ca="1">IFERROR(__xludf.DUMMYFUNCTION("IMPORTRANGE(""https://docs.google.com/spreadsheets/d/1MeEWN-I1oV_STSDYn1IFDPWt_1FKiwhDph83XaGc0o0/edit?usp=sharing"",""งบพรบ!DF66"")"),21980)</f>
        <v>21980</v>
      </c>
      <c r="O266" s="45">
        <f t="shared" ca="1" si="117"/>
        <v>81.710037174721194</v>
      </c>
      <c r="P266" s="45">
        <f t="shared" ca="1" si="118"/>
        <v>81.710037174721194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IFERROR(__xludf.DUMMYFUNCTION("IMPORTRANGE(""https://docs.google.com/spreadsheets/d/1MeEWN-I1oV_STSDYn1IFDPWt_1FKiwhDph83XaGc0o0/edit?usp=sharing"",""งบพรบ!DB66"")"),0)</f>
        <v>0</v>
      </c>
      <c r="M269" s="45">
        <f ca="1">IFERROR(__xludf.DUMMYFUNCTION("IMPORTRANGE(""https://docs.google.com/spreadsheets/d/1MeEWN-I1oV_STSDYn1IFDPWt_1FKiwhDph83XaGc0o0/edit?usp=sharing"",""งบพรบ!DE66"")"),0)</f>
        <v>0</v>
      </c>
      <c r="N269" s="45">
        <f ca="1">IFERROR(__xludf.DUMMYFUNCTION("IMPORTRANGE(""https://docs.google.com/spreadsheets/d/1MeEWN-I1oV_STSDYn1IFDPWt_1FKiwhDph83XaGc0o0/edit?usp=sharing"",""งบพรบ!DG66"")"),0)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IFERROR(__xludf.DUMMYFUNCTION("IMPORTRANGE(""https://docs.google.com/spreadsheets/d/1QqKyyYR6Q21VydFLVH3TRQUabQu_ym0Zz7PgGX0-kHA/edit?usp=sharing"",""แผน!EA66"")"),22)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IFERROR(__xludf.DUMMYFUNCTION("IMPORTRANGE(""https://docs.google.com/spreadsheets/d/1MeEWN-I1oV_STSDYn1IFDPWt_1FKiwhDph83XaGc0o0/edit?usp=sharing"",""งบพรบ!DI66"")"),0)</f>
        <v>0</v>
      </c>
      <c r="M282" s="45">
        <f ca="1">IFERROR(__xludf.DUMMYFUNCTION("IMPORTRANGE(""https://docs.google.com/spreadsheets/d/1MeEWN-I1oV_STSDYn1IFDPWt_1FKiwhDph83XaGc0o0/edit?usp=sharing"",""งบพรบ!DN66"")"),0)</f>
        <v>0</v>
      </c>
      <c r="N282" s="45">
        <f ca="1">IFERROR(__xludf.DUMMYFUNCTION("IMPORTRANGE(""https://docs.google.com/spreadsheets/d/1MeEWN-I1oV_STSDYn1IFDPWt_1FKiwhDph83XaGc0o0/edit?usp=sharing"",""งบพรบ!DP66"")"),0)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IFERROR(__xludf.DUMMYFUNCTION("IMPORTRANGE(""https://docs.google.com/spreadsheets/d/1MeEWN-I1oV_STSDYn1IFDPWt_1FKiwhDph83XaGc0o0/edit?usp=sharing"",""งบพรบ!DL66"")"),0)</f>
        <v>0</v>
      </c>
      <c r="M285" s="45">
        <f ca="1">IFERROR(__xludf.DUMMYFUNCTION("IMPORTRANGE(""https://docs.google.com/spreadsheets/d/1MeEWN-I1oV_STSDYn1IFDPWt_1FKiwhDph83XaGc0o0/edit?usp=sharing"",""งบพรบ!DO66"")"),0)</f>
        <v>0</v>
      </c>
      <c r="N285" s="45">
        <f ca="1">IFERROR(__xludf.DUMMYFUNCTION("IMPORTRANGE(""https://docs.google.com/spreadsheets/d/1MeEWN-I1oV_STSDYn1IFDPWt_1FKiwhDph83XaGc0o0/edit?usp=sharing"",""งบพรบ!DQ66"")"),0)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IFERROR(__xludf.DUMMYFUNCTION("IMPORTRANGE(""https://docs.google.com/spreadsheets/d/1QqKyyYR6Q21VydFLVH3TRQUabQu_ym0Zz7PgGX0-kHA/edit?usp=sharing"",""แผน!EC66"")"),0)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IFERROR(__xludf.DUMMYFUNCTION("IMPORTRANGE(""https://docs.google.com/spreadsheets/d/1QqKyyYR6Q21VydFLVH3TRQUabQu_ym0Zz7PgGX0-kHA/edit?usp=sharing"",""แผน!EB66"")"),0)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IFERROR(__xludf.DUMMYFUNCTION("IMPORTRANGE(""https://docs.google.com/spreadsheets/d/1QqKyyYR6Q21VydFLVH3TRQUabQu_ym0Zz7PgGX0-kHA/edit?usp=sharing"",""แผน!EB66"")"),0)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IFERROR(__xludf.DUMMYFUNCTION("IMPORTRANGE(""https://docs.google.com/spreadsheets/d/1QqKyyYR6Q21VydFLVH3TRQUabQu_ym0Zz7PgGX0-kHA/edit?usp=sharing"",""แผน!EB66"")"),0)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IFERROR(__xludf.DUMMYFUNCTION("IMPORTRANGE(""https://docs.google.com/spreadsheets/d/1QqKyyYR6Q21VydFLVH3TRQUabQu_ym0Zz7PgGX0-kHA/edit?usp=sharing"",""แผน!EB66"")"),0)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IFERROR(__xludf.DUMMYFUNCTION("IMPORTRANGE(""https://docs.google.com/spreadsheets/d/1QqKyyYR6Q21VydFLVH3TRQUabQu_ym0Zz7PgGX0-kHA/edit?usp=sharing"",""แผน!EB66"")"),0)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25</v>
      </c>
      <c r="J297" s="421">
        <f t="shared" si="134"/>
        <v>25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244000</v>
      </c>
      <c r="M298" s="154">
        <f t="shared" ca="1" si="135"/>
        <v>257000</v>
      </c>
      <c r="N298" s="154">
        <f t="shared" ca="1" si="135"/>
        <v>200482</v>
      </c>
      <c r="O298" s="154">
        <f t="shared" ref="O298:O306" ca="1" si="136">IF(L298&gt;0,N298*100/L298,0)</f>
        <v>82.16475409836066</v>
      </c>
      <c r="P298" s="154">
        <f t="shared" ref="P298:P306" ca="1" si="137">IF(M298&gt;0,N298*100/M298,0)</f>
        <v>78.008560311284043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244000</v>
      </c>
      <c r="M300" s="45">
        <f t="shared" ca="1" si="138"/>
        <v>257000</v>
      </c>
      <c r="N300" s="45">
        <f t="shared" ca="1" si="138"/>
        <v>200482</v>
      </c>
      <c r="O300" s="45">
        <f t="shared" ca="1" si="136"/>
        <v>82.16475409836066</v>
      </c>
      <c r="P300" s="45">
        <f t="shared" ca="1" si="137"/>
        <v>78.008560311284043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244000</v>
      </c>
      <c r="M301" s="38">
        <f t="shared" ca="1" si="139"/>
        <v>257000</v>
      </c>
      <c r="N301" s="38">
        <f t="shared" ca="1" si="139"/>
        <v>200482</v>
      </c>
      <c r="O301" s="38">
        <f t="shared" ca="1" si="136"/>
        <v>82.16475409836066</v>
      </c>
      <c r="P301" s="38">
        <f t="shared" ca="1" si="137"/>
        <v>78.008560311284043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IFERROR(__xludf.DUMMYFUNCTION("IMPORTRANGE(""https://docs.google.com/spreadsheets/d/1MeEWN-I1oV_STSDYn1IFDPWt_1FKiwhDph83XaGc0o0/edit?usp=sharing"",""งบพรบ!DS66"")"),244000)</f>
        <v>244000</v>
      </c>
      <c r="M303" s="45">
        <f ca="1">IFERROR(__xludf.DUMMYFUNCTION("IMPORTRANGE(""https://docs.google.com/spreadsheets/d/1MeEWN-I1oV_STSDYn1IFDPWt_1FKiwhDph83XaGc0o0/edit?usp=sharing"",""งบพรบ!DX66"")"),257000)</f>
        <v>257000</v>
      </c>
      <c r="N303" s="45">
        <f ca="1">IFERROR(__xludf.DUMMYFUNCTION("IMPORTRANGE(""https://docs.google.com/spreadsheets/d/1MeEWN-I1oV_STSDYn1IFDPWt_1FKiwhDph83XaGc0o0/edit?usp=sharing"",""งบพรบ!DZ66"")"),200482)</f>
        <v>200482</v>
      </c>
      <c r="O303" s="45">
        <f t="shared" ca="1" si="136"/>
        <v>82.16475409836066</v>
      </c>
      <c r="P303" s="45">
        <f t="shared" ca="1" si="137"/>
        <v>78.008560311284043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IFERROR(__xludf.DUMMYFUNCTION("IMPORTRANGE(""https://docs.google.com/spreadsheets/d/1MeEWN-I1oV_STSDYn1IFDPWt_1FKiwhDph83XaGc0o0/edit?usp=sharing"",""งบพรบ!DV66"")"),0)</f>
        <v>0</v>
      </c>
      <c r="M306" s="45">
        <f ca="1">IFERROR(__xludf.DUMMYFUNCTION("IMPORTRANGE(""https://docs.google.com/spreadsheets/d/1MeEWN-I1oV_STSDYn1IFDPWt_1FKiwhDph83XaGc0o0/edit?usp=sharing"",""งบพรบ!DY66"")"),0)</f>
        <v>0</v>
      </c>
      <c r="N306" s="45">
        <f ca="1">IFERROR(__xludf.DUMMYFUNCTION("IMPORTRANGE(""https://docs.google.com/spreadsheets/d/1MeEWN-I1oV_STSDYn1IFDPWt_1FKiwhDph83XaGc0o0/edit?usp=sharing"",""งบพรบ!EA66"")"),0)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IFERROR(__xludf.DUMMYFUNCTION("IMPORTRANGE(""https://docs.google.com/spreadsheets/d/1QqKyyYR6Q21VydFLVH3TRQUabQu_ym0Zz7PgGX0-kHA/edit?usp=sharing"",""แผน!ED66"")"),25)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IFERROR(__xludf.DUMMYFUNCTION("IMPORTRANGE(""https://docs.google.com/spreadsheets/d/1QqKyyYR6Q21VydFLVH3TRQUabQu_ym0Zz7PgGX0-kHA/edit?usp=sharing"",""แผน!ED66"")"),25)</f>
        <v>25</v>
      </c>
      <c r="J310" s="181">
        <v>25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IFERROR(__xludf.DUMMYFUNCTION("IMPORTRANGE(""https://docs.google.com/spreadsheets/d/1QqKyyYR6Q21VydFLVH3TRQUabQu_ym0Zz7PgGX0-kHA/edit?usp=sharing"",""แผน!ED66"")"),25)</f>
        <v>25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IFERROR(__xludf.DUMMYFUNCTION("IMPORTRANGE(""https://docs.google.com/spreadsheets/d/1QqKyyYR6Q21VydFLVH3TRQUabQu_ym0Zz7PgGX0-kHA/edit?usp=sharing"",""แผน!EE66"")"),5)</f>
        <v>5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IFERROR(__xludf.DUMMYFUNCTION("IMPORTRANGE(""https://docs.google.com/spreadsheets/d/1MeEWN-I1oV_STSDYn1IFDPWt_1FKiwhDph83XaGc0o0/edit?usp=sharing"",""งบพรบ!EC66"")"),0)</f>
        <v>0</v>
      </c>
      <c r="M320" s="45">
        <f ca="1">IFERROR(__xludf.DUMMYFUNCTION("IMPORTRANGE(""https://docs.google.com/spreadsheets/d/1MeEWN-I1oV_STSDYn1IFDPWt_1FKiwhDph83XaGc0o0/edit?usp=sharing"",""งบพรบ!EH66"")"),0)</f>
        <v>0</v>
      </c>
      <c r="N320" s="45">
        <f ca="1">IFERROR(__xludf.DUMMYFUNCTION("IMPORTRANGE(""https://docs.google.com/spreadsheets/d/1MeEWN-I1oV_STSDYn1IFDPWt_1FKiwhDph83XaGc0o0/edit?usp=sharing"",""งบพรบ!EJ66"")"),0)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IFERROR(__xludf.DUMMYFUNCTION("IMPORTRANGE(""https://docs.google.com/spreadsheets/d/1MeEWN-I1oV_STSDYn1IFDPWt_1FKiwhDph83XaGc0o0/edit?usp=sharing"",""งบพรบ!EF66"")"),0)</f>
        <v>0</v>
      </c>
      <c r="M323" s="45">
        <f ca="1">IFERROR(__xludf.DUMMYFUNCTION("IMPORTRANGE(""https://docs.google.com/spreadsheets/d/1MeEWN-I1oV_STSDYn1IFDPWt_1FKiwhDph83XaGc0o0/edit?usp=sharing"",""งบพรบ!EI66"")"),0)</f>
        <v>0</v>
      </c>
      <c r="N323" s="45">
        <f ca="1">IFERROR(__xludf.DUMMYFUNCTION("IMPORTRANGE(""https://docs.google.com/spreadsheets/d/1MeEWN-I1oV_STSDYn1IFDPWt_1FKiwhDph83XaGc0o0/edit?usp=sharing"",""งบพรบ!EK66"")"),0)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IFERROR(__xludf.DUMMYFUNCTION("IMPORTRANGE(""https://docs.google.com/spreadsheets/d/1QqKyyYR6Q21VydFLVH3TRQUabQu_ym0Zz7PgGX0-kHA/edit?usp=sharing"",""แผน!EF66"")"),0)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IFERROR(__xludf.DUMMYFUNCTION("IMPORTRANGE(""https://docs.google.com/spreadsheets/d/1QqKyyYR6Q21VydFLVH3TRQUabQu_ym0Zz7PgGX0-kHA/edit?usp=sharing"",""แผน!EG66"")"),400)</f>
        <v>400</v>
      </c>
      <c r="J327" s="421">
        <f ca="1">J338+J341+J342+J343</f>
        <v>559</v>
      </c>
      <c r="K327" s="422">
        <f ca="1">IF(I327&gt;0,J327*100/I327,0)</f>
        <v>139.75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157000</v>
      </c>
      <c r="M328" s="154">
        <f t="shared" ca="1" si="149"/>
        <v>159500</v>
      </c>
      <c r="N328" s="154">
        <f t="shared" ca="1" si="149"/>
        <v>129575.03999999999</v>
      </c>
      <c r="O328" s="154">
        <f t="shared" ref="O328:O336" ca="1" si="150">IF(L328&gt;0,N328*100/L328,0)</f>
        <v>82.531872611464962</v>
      </c>
      <c r="P328" s="154">
        <f t="shared" ref="P328:P336" ca="1" si="151">IF(M328&gt;0,N328*100/M328,0)</f>
        <v>81.238269592476485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157000</v>
      </c>
      <c r="M330" s="45">
        <f t="shared" ca="1" si="152"/>
        <v>159500</v>
      </c>
      <c r="N330" s="45">
        <f t="shared" ca="1" si="152"/>
        <v>129575.03999999999</v>
      </c>
      <c r="O330" s="45">
        <f t="shared" ca="1" si="150"/>
        <v>82.531872611464962</v>
      </c>
      <c r="P330" s="45">
        <f t="shared" ca="1" si="151"/>
        <v>81.238269592476485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157000</v>
      </c>
      <c r="M331" s="38">
        <f t="shared" ca="1" si="153"/>
        <v>159500</v>
      </c>
      <c r="N331" s="38">
        <f t="shared" ca="1" si="153"/>
        <v>129575.03999999999</v>
      </c>
      <c r="O331" s="38">
        <f t="shared" ca="1" si="150"/>
        <v>82.531872611464962</v>
      </c>
      <c r="P331" s="38">
        <f t="shared" ca="1" si="151"/>
        <v>81.238269592476485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IFERROR(__xludf.DUMMYFUNCTION("IMPORTRANGE(""https://docs.google.com/spreadsheets/d/1MeEWN-I1oV_STSDYn1IFDPWt_1FKiwhDph83XaGc0o0/edit?usp=sharing"",""งบพรบ!EM66"")"),157000)</f>
        <v>157000</v>
      </c>
      <c r="M333" s="45">
        <f ca="1">IFERROR(__xludf.DUMMYFUNCTION("IMPORTRANGE(""https://docs.google.com/spreadsheets/d/1MeEWN-I1oV_STSDYn1IFDPWt_1FKiwhDph83XaGc0o0/edit?usp=sharing"",""งบพรบ!ER66"")"),159500)</f>
        <v>159500</v>
      </c>
      <c r="N333" s="45">
        <f ca="1">IFERROR(__xludf.DUMMYFUNCTION("IMPORTRANGE(""https://docs.google.com/spreadsheets/d/1MeEWN-I1oV_STSDYn1IFDPWt_1FKiwhDph83XaGc0o0/edit?usp=sharing"",""งบพรบ!ET66"")"),129575.04)</f>
        <v>129575.03999999999</v>
      </c>
      <c r="O333" s="45">
        <f t="shared" ca="1" si="150"/>
        <v>82.531872611464962</v>
      </c>
      <c r="P333" s="45">
        <f t="shared" ca="1" si="151"/>
        <v>81.238269592476485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IFERROR(__xludf.DUMMYFUNCTION("IMPORTRANGE(""https://docs.google.com/spreadsheets/d/1MeEWN-I1oV_STSDYn1IFDPWt_1FKiwhDph83XaGc0o0/edit?usp=sharing"",""งบพรบ!EP66"")"),0)</f>
        <v>0</v>
      </c>
      <c r="M336" s="45">
        <f ca="1">IFERROR(__xludf.DUMMYFUNCTION("IMPORTRANGE(""https://docs.google.com/spreadsheets/d/1MeEWN-I1oV_STSDYn1IFDPWt_1FKiwhDph83XaGc0o0/edit?usp=sharing"",""งบพรบ!ES66"")"),0)</f>
        <v>0</v>
      </c>
      <c r="N336" s="45">
        <f ca="1">IFERROR(__xludf.DUMMYFUNCTION("IMPORTRANGE(""https://docs.google.com/spreadsheets/d/1MeEWN-I1oV_STSDYn1IFDPWt_1FKiwhDph83XaGc0o0/edit?usp=sharing"",""งบพรบ!EU66"")"),0)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IFERROR(__xludf.DUMMYFUNCTION("IMPORTRANGE(""https://docs.google.com/spreadsheets/d/1QqKyyYR6Q21VydFLVH3TRQUabQu_ym0Zz7PgGX0-kHA/edit?usp=sharing"",""แผน!EG66"")"),400)</f>
        <v>400</v>
      </c>
      <c r="J338" s="37">
        <f ca="1">IFERROR(__xludf.DUMMYFUNCTION("IMPORTRANGE(""https://docs.google.com/spreadsheets/d/1kVcqe37tkHyjCSG3S0O1AXqVkqjo8mSIZil3BcpIysc/edit?usp=sharing"",""ศูนย์!D66"")"),478)</f>
        <v>478</v>
      </c>
      <c r="K338" s="38">
        <f ca="1">IF(I338&gt;0,J338*100/I338,0)</f>
        <v>119.5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IFERROR(__xludf.DUMMYFUNCTION("IMPORTRANGE(""https://docs.google.com/spreadsheets/d/1QqKyyYR6Q21VydFLVH3TRQUabQu_ym0Zz7PgGX0-kHA/edit?usp=sharing"",""แผน!EH66"")"),2)</f>
        <v>2</v>
      </c>
      <c r="J340" s="37">
        <f ca="1">IFERROR(__xludf.DUMMYFUNCTION("IMPORTRANGE(""https://docs.google.com/spreadsheets/d/1kVcqe37tkHyjCSG3S0O1AXqVkqjo8mSIZil3BcpIysc/edit?usp=sharing"",""ศูนย์!E66"")"),0)</f>
        <v>0</v>
      </c>
      <c r="K340" s="38">
        <f ca="1">IF(I340&gt;0,J340*100/I340,0)</f>
        <v>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IFERROR(__xludf.DUMMYFUNCTION("IMPORTRANGE(""https://docs.google.com/spreadsheets/d/1kVcqe37tkHyjCSG3S0O1AXqVkqjo8mSIZil3BcpIysc/edit?usp=sharing"",""ศูนย์!F66"")"),0)</f>
        <v>0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IFERROR(__xludf.DUMMYFUNCTION("IMPORTRANGE(""https://docs.google.com/spreadsheets/d/1kVcqe37tkHyjCSG3S0O1AXqVkqjo8mSIZil3BcpIysc/edit?usp=sharing"",""ศูนย์!G66"")"),0)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IFERROR(__xludf.DUMMYFUNCTION("IMPORTRANGE(""https://docs.google.com/spreadsheets/d/1kVcqe37tkHyjCSG3S0O1AXqVkqjo8mSIZil3BcpIysc/edit?usp=sharing"",""ศูนย์!H66"")"),81)</f>
        <v>81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824120</v>
      </c>
      <c r="M345" s="154">
        <f t="shared" ca="1" si="155"/>
        <v>946200</v>
      </c>
      <c r="N345" s="154">
        <f t="shared" ca="1" si="155"/>
        <v>756922.71</v>
      </c>
      <c r="O345" s="154">
        <f t="shared" ref="O345:O353" ca="1" si="156">IF(L345&gt;0,N345*100/L345,0)</f>
        <v>91.846176527690147</v>
      </c>
      <c r="P345" s="154">
        <f t="shared" ref="P345:P353" ca="1" si="157">IF(M345&gt;0,N345*100/M345,0)</f>
        <v>79.996058972733039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824120</v>
      </c>
      <c r="M347" s="45">
        <f t="shared" ca="1" si="158"/>
        <v>946200</v>
      </c>
      <c r="N347" s="45">
        <f t="shared" ca="1" si="158"/>
        <v>756922.71</v>
      </c>
      <c r="O347" s="45">
        <f t="shared" ca="1" si="156"/>
        <v>91.846176527690147</v>
      </c>
      <c r="P347" s="45">
        <f t="shared" ca="1" si="157"/>
        <v>79.996058972733039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611920</v>
      </c>
      <c r="M348" s="38">
        <f t="shared" ca="1" si="159"/>
        <v>734000</v>
      </c>
      <c r="N348" s="38">
        <f t="shared" ca="1" si="159"/>
        <v>544722.71</v>
      </c>
      <c r="O348" s="38">
        <f t="shared" ca="1" si="156"/>
        <v>89.018615178454695</v>
      </c>
      <c r="P348" s="38">
        <f t="shared" ca="1" si="157"/>
        <v>74.212903269754761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IFERROR(__xludf.DUMMYFUNCTION("IMPORTRANGE(""https://docs.google.com/spreadsheets/d/1MeEWN-I1oV_STSDYn1IFDPWt_1FKiwhDph83XaGc0o0/edit?usp=sharing"",""งบพรบ!EW66"")"),611920)</f>
        <v>611920</v>
      </c>
      <c r="M350" s="45">
        <f ca="1">IFERROR(__xludf.DUMMYFUNCTION("IMPORTRANGE(""https://docs.google.com/spreadsheets/d/1MeEWN-I1oV_STSDYn1IFDPWt_1FKiwhDph83XaGc0o0/edit?usp=sharing"",""งบพรบ!FB66"")"),734000)</f>
        <v>734000</v>
      </c>
      <c r="N350" s="45">
        <f ca="1">IFERROR(__xludf.DUMMYFUNCTION("IMPORTRANGE(""https://docs.google.com/spreadsheets/d/1MeEWN-I1oV_STSDYn1IFDPWt_1FKiwhDph83XaGc0o0/edit?usp=sharing"",""งบพรบ!FD66"")"),544722.71)</f>
        <v>544722.71</v>
      </c>
      <c r="O350" s="45">
        <f t="shared" ca="1" si="156"/>
        <v>89.018615178454695</v>
      </c>
      <c r="P350" s="45">
        <f t="shared" ca="1" si="157"/>
        <v>74.212903269754761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212200</v>
      </c>
      <c r="M351" s="38">
        <f t="shared" ca="1" si="160"/>
        <v>212200</v>
      </c>
      <c r="N351" s="38">
        <f t="shared" ca="1" si="160"/>
        <v>212200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IFERROR(__xludf.DUMMYFUNCTION("IMPORTRANGE(""https://docs.google.com/spreadsheets/d/1MeEWN-I1oV_STSDYn1IFDPWt_1FKiwhDph83XaGc0o0/edit?usp=sharing"",""งบพรบ!EZ66"")"),212200)</f>
        <v>212200</v>
      </c>
      <c r="M353" s="45">
        <f ca="1">IFERROR(__xludf.DUMMYFUNCTION("IMPORTRANGE(""https://docs.google.com/spreadsheets/d/1MeEWN-I1oV_STSDYn1IFDPWt_1FKiwhDph83XaGc0o0/edit?usp=sharing"",""งบพรบ!FC66"")"),212200)</f>
        <v>212200</v>
      </c>
      <c r="N353" s="45">
        <f ca="1">IFERROR(__xludf.DUMMYFUNCTION("IMPORTRANGE(""https://docs.google.com/spreadsheets/d/1MeEWN-I1oV_STSDYn1IFDPWt_1FKiwhDph83XaGc0o0/edit?usp=sharing"",""งบพรบ!FE66"")"),212200)</f>
        <v>212200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IFERROR(__xludf.DUMMYFUNCTION("IMPORTRANGE(""https://docs.google.com/spreadsheets/d/1QqKyyYR6Q21VydFLVH3TRQUabQu_ym0Zz7PgGX0-kHA/edit?usp=sharing"",""แผน!EP66"")"),110)</f>
        <v>110</v>
      </c>
      <c r="J355" s="438">
        <f ca="1">J362</f>
        <v>34</v>
      </c>
      <c r="K355" s="439">
        <f ca="1">IF(I355&gt;0,J355*100/I355,0)</f>
        <v>30.90909090909091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IFERROR(__xludf.DUMMYFUNCTION("IMPORTRANGE(""https://docs.google.com/spreadsheets/d/1XWAQStnk-4SwqDmLtmXYiTMKHgktTP8We1SCoS47DrQ/edit?usp=sharing"",""จัดที่ดิน!W66"")"),113)</f>
        <v>113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IFERROR(__xludf.DUMMYFUNCTION("IMPORTRANGE(""https://docs.google.com/spreadsheets/d/1QqKyyYR6Q21VydFLVH3TRQUabQu_ym0Zz7PgGX0-kHA/edit?usp=sharing"",""แผน!EO66"")"),900)</f>
        <v>900</v>
      </c>
      <c r="J359" s="37">
        <f ca="1">IFERROR(__xludf.DUMMYFUNCTION("IMPORTRANGE(""https://docs.google.com/spreadsheets/d/1XWAQStnk-4SwqDmLtmXYiTMKHgktTP8We1SCoS47DrQ/edit?usp=sharing"",""จัดที่ดิน!X66"")"),1314.72)</f>
        <v>1314.72</v>
      </c>
      <c r="K359" s="38">
        <f t="shared" ca="1" si="161"/>
        <v>146.08000000000001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IFERROR(__xludf.DUMMYFUNCTION("IMPORTRANGE(""https://docs.google.com/spreadsheets/d/1QqKyyYR6Q21VydFLVH3TRQUabQu_ym0Zz7PgGX0-kHA/edit?usp=sharing"",""แผน!EP66"")"),110)</f>
        <v>110</v>
      </c>
      <c r="J360" s="37">
        <f ca="1">IFERROR(__xludf.DUMMYFUNCTION("IMPORTRANGE(""https://docs.google.com/spreadsheets/d/1XWAQStnk-4SwqDmLtmXYiTMKHgktTP8We1SCoS47DrQ/edit?usp=sharing"",""จัดที่ดิน!Y66"")"),49)</f>
        <v>49</v>
      </c>
      <c r="K360" s="38">
        <f t="shared" ca="1" si="161"/>
        <v>44.545454545454547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IFERROR(__xludf.DUMMYFUNCTION("IMPORTRANGE(""https://docs.google.com/spreadsheets/d/1XWAQStnk-4SwqDmLtmXYiTMKHgktTP8We1SCoS47DrQ/edit?usp=sharing"",""จัดที่ดิน!Z66"")"),622.33)</f>
        <v>622.33000000000004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IFERROR(__xludf.DUMMYFUNCTION("IMPORTRANGE(""https://docs.google.com/spreadsheets/d/1QqKyyYR6Q21VydFLVH3TRQUabQu_ym0Zz7PgGX0-kHA/edit?usp=sharing"",""แผน!EP66"")"),110)</f>
        <v>110</v>
      </c>
      <c r="J362" s="37">
        <f ca="1">IFERROR(__xludf.DUMMYFUNCTION("IMPORTRANGE(""https://docs.google.com/spreadsheets/d/1XWAQStnk-4SwqDmLtmXYiTMKHgktTP8We1SCoS47DrQ/edit?usp=sharing"",""จัดที่ดิน!AA66"")"),34)</f>
        <v>34</v>
      </c>
      <c r="K362" s="38">
        <f t="shared" ca="1" si="161"/>
        <v>30.90909090909091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IFERROR(__xludf.DUMMYFUNCTION("IMPORTRANGE(""https://docs.google.com/spreadsheets/d/1XWAQStnk-4SwqDmLtmXYiTMKHgktTP8We1SCoS47DrQ/edit?usp=sharing"",""จัดที่ดิน!AB66"")"),461.11)</f>
        <v>461.11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160</v>
      </c>
      <c r="J364" s="452">
        <f t="shared" ca="1" si="162"/>
        <v>90</v>
      </c>
      <c r="K364" s="453">
        <f t="shared" ca="1" si="161"/>
        <v>56.25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IFERROR(__xludf.DUMMYFUNCTION("IMPORTRANGE(""https://docs.google.com/spreadsheets/d/1QqKyyYR6Q21VydFLVH3TRQUabQu_ym0Zz7PgGX0-kHA/edit?usp=sharing"",""แผน!EJ66"")"),10)</f>
        <v>10</v>
      </c>
      <c r="J365" s="462">
        <f ca="1">J372</f>
        <v>1</v>
      </c>
      <c r="K365" s="463">
        <f t="shared" ca="1" si="161"/>
        <v>10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IFERROR(__xludf.DUMMYFUNCTION("IMPORTRANGE(""https://docs.google.com/spreadsheets/d/1XWAQStnk-4SwqDmLtmXYiTMKHgktTP8We1SCoS47DrQ/edit?usp=sharing"",""จัดที่ดิน!E66"")"),27)</f>
        <v>27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IFERROR(__xludf.DUMMYFUNCTION("IMPORTRANGE(""https://docs.google.com/spreadsheets/d/1QqKyyYR6Q21VydFLVH3TRQUabQu_ym0Zz7PgGX0-kHA/edit?usp=sharing"",""แผน!EI66"")"),100)</f>
        <v>100</v>
      </c>
      <c r="J369" s="37">
        <f ca="1">IFERROR(__xludf.DUMMYFUNCTION("IMPORTRANGE(""https://docs.google.com/spreadsheets/d/1XWAQStnk-4SwqDmLtmXYiTMKHgktTP8We1SCoS47DrQ/edit?usp=sharing"",""จัดที่ดิน!F66"")"),346.22)</f>
        <v>346.22</v>
      </c>
      <c r="K369" s="38">
        <f t="shared" ca="1" si="163"/>
        <v>346.22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IFERROR(__xludf.DUMMYFUNCTION("IMPORTRANGE(""https://docs.google.com/spreadsheets/d/1QqKyyYR6Q21VydFLVH3TRQUabQu_ym0Zz7PgGX0-kHA/edit?usp=sharing"",""แผน!EJ66"")"),10)</f>
        <v>10</v>
      </c>
      <c r="J370" s="37">
        <f ca="1">IFERROR(__xludf.DUMMYFUNCTION("IMPORTRANGE(""https://docs.google.com/spreadsheets/d/1XWAQStnk-4SwqDmLtmXYiTMKHgktTP8We1SCoS47DrQ/edit?usp=sharing"",""จัดที่ดิน!G66"")"),9)</f>
        <v>9</v>
      </c>
      <c r="K370" s="38">
        <f t="shared" ca="1" si="163"/>
        <v>90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IFERROR(__xludf.DUMMYFUNCTION("IMPORTRANGE(""https://docs.google.com/spreadsheets/d/1XWAQStnk-4SwqDmLtmXYiTMKHgktTP8We1SCoS47DrQ/edit?usp=sharing"",""จัดที่ดิน!H66"")"),120.72)</f>
        <v>120.72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IFERROR(__xludf.DUMMYFUNCTION("IMPORTRANGE(""https://docs.google.com/spreadsheets/d/1QqKyyYR6Q21VydFLVH3TRQUabQu_ym0Zz7PgGX0-kHA/edit?usp=sharing"",""แผน!EJ66"")"),10)</f>
        <v>10</v>
      </c>
      <c r="J372" s="37">
        <f ca="1">IFERROR(__xludf.DUMMYFUNCTION("IMPORTRANGE(""https://docs.google.com/spreadsheets/d/1XWAQStnk-4SwqDmLtmXYiTMKHgktTP8We1SCoS47DrQ/edit?usp=sharing"",""จัดที่ดิน!I66"")"),1)</f>
        <v>1</v>
      </c>
      <c r="K372" s="38">
        <f t="shared" ca="1" si="163"/>
        <v>10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IFERROR(__xludf.DUMMYFUNCTION("IMPORTRANGE(""https://docs.google.com/spreadsheets/d/1XWAQStnk-4SwqDmLtmXYiTMKHgktTP8We1SCoS47DrQ/edit?usp=sharing"",""จัดที่ดิน!J66"")"),38.94)</f>
        <v>38.94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IFERROR(__xludf.DUMMYFUNCTION("IMPORTRANGE(""https://docs.google.com/spreadsheets/d/1QqKyyYR6Q21VydFLVH3TRQUabQu_ym0Zz7PgGX0-kHA/edit?usp=sharing"",""แผน!EU66"")"),150)</f>
        <v>150</v>
      </c>
      <c r="J374" s="462">
        <f ca="1">J381</f>
        <v>89</v>
      </c>
      <c r="K374" s="463">
        <f t="shared" ca="1" si="163"/>
        <v>59.333333333333336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IFERROR(__xludf.DUMMYFUNCTION("IMPORTRANGE(""https://docs.google.com/spreadsheets/d/1XWAQStnk-4SwqDmLtmXYiTMKHgktTP8We1SCoS47DrQ/edit?usp=sharing"",""จัดที่ดิน!AH66"")"),86)</f>
        <v>86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IFERROR(__xludf.DUMMYFUNCTION("IMPORTRANGE(""https://docs.google.com/spreadsheets/d/1QqKyyYR6Q21VydFLVH3TRQUabQu_ym0Zz7PgGX0-kHA/edit?usp=sharing"",""แผน!ET66"")"),800)</f>
        <v>800</v>
      </c>
      <c r="J378" s="37">
        <f ca="1">IFERROR(__xludf.DUMMYFUNCTION("IMPORTRANGE(""https://docs.google.com/spreadsheets/d/1XWAQStnk-4SwqDmLtmXYiTMKHgktTP8We1SCoS47DrQ/edit?usp=sharing"",""จัดที่ดิน!AI66"")"),968.5)</f>
        <v>968.5</v>
      </c>
      <c r="K378" s="38">
        <f t="shared" ca="1" si="164"/>
        <v>121.0625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IFERROR(__xludf.DUMMYFUNCTION("IMPORTRANGE(""https://docs.google.com/spreadsheets/d/1QqKyyYR6Q21VydFLVH3TRQUabQu_ym0Zz7PgGX0-kHA/edit?usp=sharing"",""แผน!EU66"")"),150)</f>
        <v>150</v>
      </c>
      <c r="J379" s="37">
        <f ca="1">IFERROR(__xludf.DUMMYFUNCTION("IMPORTRANGE(""https://docs.google.com/spreadsheets/d/1XWAQStnk-4SwqDmLtmXYiTMKHgktTP8We1SCoS47DrQ/edit?usp=sharing"",""จัดที่ดิน!AJ66"")"),110)</f>
        <v>110</v>
      </c>
      <c r="K379" s="38">
        <f t="shared" ca="1" si="164"/>
        <v>73.333333333333329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IFERROR(__xludf.DUMMYFUNCTION("IMPORTRANGE(""https://docs.google.com/spreadsheets/d/1XWAQStnk-4SwqDmLtmXYiTMKHgktTP8We1SCoS47DrQ/edit?usp=sharing"",""จัดที่ดิน!AK66"")"),1366.17)</f>
        <v>1366.17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IFERROR(__xludf.DUMMYFUNCTION("IMPORTRANGE(""https://docs.google.com/spreadsheets/d/1QqKyyYR6Q21VydFLVH3TRQUabQu_ym0Zz7PgGX0-kHA/edit?usp=sharing"",""แผน!EU66"")"),150)</f>
        <v>150</v>
      </c>
      <c r="J381" s="37">
        <f ca="1">IFERROR(__xludf.DUMMYFUNCTION("IMPORTRANGE(""https://docs.google.com/spreadsheets/d/1XWAQStnk-4SwqDmLtmXYiTMKHgktTP8We1SCoS47DrQ/edit?usp=sharing"",""จัดที่ดิน!AL66"")"),89)</f>
        <v>89</v>
      </c>
      <c r="K381" s="38">
        <f t="shared" ca="1" si="164"/>
        <v>59.333333333333336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IFERROR(__xludf.DUMMYFUNCTION("IMPORTRANGE(""https://docs.google.com/spreadsheets/d/1XWAQStnk-4SwqDmLtmXYiTMKHgktTP8We1SCoS47DrQ/edit?usp=sharing"",""จัดที่ดิน!AM66"")"),1029.72)</f>
        <v>1029.72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IFERROR(__xludf.DUMMYFUNCTION("IMPORTRANGE(""https://docs.google.com/spreadsheets/d/1QqKyyYR6Q21VydFLVH3TRQUabQu_ym0Zz7PgGX0-kHA/edit?usp=sharing"",""แผน!EW66"")"),20)</f>
        <v>20</v>
      </c>
      <c r="J385" s="365">
        <f ca="1">IFERROR(__xludf.DUMMYFUNCTION("IMPORTRANGE(""https://docs.google.com/spreadsheets/d/1XWAQStnk-4SwqDmLtmXYiTMKHgktTP8We1SCoS47DrQ/edit?usp=sharing"",""จัดที่ดิน!AP66"")"),0)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IFERROR(__xludf.DUMMYFUNCTION("IMPORTRANGE(""https://docs.google.com/spreadsheets/d/1MeEWN-I1oV_STSDYn1IFDPWt_1FKiwhDph83XaGc0o0/edit?usp=sharing"",""งบพรบ!FG66"")"),0)</f>
        <v>0</v>
      </c>
      <c r="M394" s="45">
        <f ca="1">IFERROR(__xludf.DUMMYFUNCTION("IMPORTRANGE(""https://docs.google.com/spreadsheets/d/1MeEWN-I1oV_STSDYn1IFDPWt_1FKiwhDph83XaGc0o0/edit?usp=sharing"",""งบพรบ!FL66"")"),0)</f>
        <v>0</v>
      </c>
      <c r="N394" s="45">
        <f ca="1">IFERROR(__xludf.DUMMYFUNCTION("IMPORTRANGE(""https://docs.google.com/spreadsheets/d/1MeEWN-I1oV_STSDYn1IFDPWt_1FKiwhDph83XaGc0o0/edit?usp=sharing"",""งบพรบ!FN66"")"),0)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IFERROR(__xludf.DUMMYFUNCTION("IMPORTRANGE(""https://docs.google.com/spreadsheets/d/1MeEWN-I1oV_STSDYn1IFDPWt_1FKiwhDph83XaGc0o0/edit?usp=sharing"",""งบพรบ!FJ66"")"),0)</f>
        <v>0</v>
      </c>
      <c r="M397" s="45">
        <f ca="1">IFERROR(__xludf.DUMMYFUNCTION("IMPORTRANGE(""https://docs.google.com/spreadsheets/d/1MeEWN-I1oV_STSDYn1IFDPWt_1FKiwhDph83XaGc0o0/edit?usp=sharing"",""งบพรบ!FM66"")"),0)</f>
        <v>0</v>
      </c>
      <c r="N397" s="45">
        <f ca="1">IFERROR(__xludf.DUMMYFUNCTION("IMPORTRANGE(""https://docs.google.com/spreadsheets/d/1MeEWN-I1oV_STSDYn1IFDPWt_1FKiwhDph83XaGc0o0/edit?usp=sharing"",""งบพรบ!FO66"")"),0)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IFERROR(__xludf.DUMMYFUNCTION("IMPORTRANGE(""https://docs.google.com/spreadsheets/d/1MeEWN-I1oV_STSDYn1IFDPWt_1FKiwhDph83XaGc0o0/edit?usp=sharing"",""งบพรบ!FQ66"")"),0)</f>
        <v>0</v>
      </c>
      <c r="M407" s="45">
        <f ca="1">IFERROR(__xludf.DUMMYFUNCTION("IMPORTRANGE(""https://docs.google.com/spreadsheets/d/1MeEWN-I1oV_STSDYn1IFDPWt_1FKiwhDph83XaGc0o0/edit?usp=sharing"",""งบพรบ!FV66"")"),0)</f>
        <v>0</v>
      </c>
      <c r="N407" s="45">
        <f ca="1">IFERROR(__xludf.DUMMYFUNCTION("IMPORTRANGE(""https://docs.google.com/spreadsheets/d/1MeEWN-I1oV_STSDYn1IFDPWt_1FKiwhDph83XaGc0o0/edit?usp=sharing"",""งบพรบ!FX66"")"),0)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IFERROR(__xludf.DUMMYFUNCTION("IMPORTRANGE(""https://docs.google.com/spreadsheets/d/1MeEWN-I1oV_STSDYn1IFDPWt_1FKiwhDph83XaGc0o0/edit?usp=sharing"",""งบพรบ!FT66"")"),0)</f>
        <v>0</v>
      </c>
      <c r="M410" s="45">
        <f ca="1">IFERROR(__xludf.DUMMYFUNCTION("IMPORTRANGE(""https://docs.google.com/spreadsheets/d/1MeEWN-I1oV_STSDYn1IFDPWt_1FKiwhDph83XaGc0o0/edit?usp=sharing"",""งบพรบ!FW66"")"),0)</f>
        <v>0</v>
      </c>
      <c r="N410" s="45">
        <f ca="1">IFERROR(__xludf.DUMMYFUNCTION("IMPORTRANGE(""https://docs.google.com/spreadsheets/d/1MeEWN-I1oV_STSDYn1IFDPWt_1FKiwhDph83XaGc0o0/edit?usp=sharing"",""งบพรบ!FY66"")"),0)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850493</v>
      </c>
      <c r="M414" s="518">
        <f t="shared" ca="1" si="181"/>
        <v>850493</v>
      </c>
      <c r="N414" s="518">
        <f t="shared" si="181"/>
        <v>597515</v>
      </c>
      <c r="O414" s="518">
        <f ca="1">IF(L414&gt;0,N414*100/L414,0)</f>
        <v>70.255134375003678</v>
      </c>
      <c r="P414" s="518">
        <f ca="1">IF(M414&gt;0,N414*100/M414,0)</f>
        <v>70.255134375003678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80960</v>
      </c>
      <c r="M419" s="154">
        <f t="shared" ca="1" si="184"/>
        <v>80960</v>
      </c>
      <c r="N419" s="154">
        <f t="shared" si="184"/>
        <v>80380</v>
      </c>
      <c r="O419" s="154">
        <f t="shared" ref="O419:O424" ca="1" si="185">IF(L419&gt;0,N419*100/L419,0)</f>
        <v>99.283596837944657</v>
      </c>
      <c r="P419" s="154">
        <f t="shared" ref="P419:P424" ca="1" si="186">IF(M419&gt;0,N419*100/M419,0)</f>
        <v>99.283596837944657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80960</v>
      </c>
      <c r="M421" s="45">
        <f t="shared" ca="1" si="187"/>
        <v>80960</v>
      </c>
      <c r="N421" s="45">
        <f t="shared" si="187"/>
        <v>80380</v>
      </c>
      <c r="O421" s="45">
        <f t="shared" ca="1" si="185"/>
        <v>99.283596837944657</v>
      </c>
      <c r="P421" s="45">
        <f t="shared" ca="1" si="186"/>
        <v>99.283596837944657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80960</v>
      </c>
      <c r="M422" s="38">
        <f t="shared" ca="1" si="188"/>
        <v>80960</v>
      </c>
      <c r="N422" s="38">
        <f t="shared" si="188"/>
        <v>80380</v>
      </c>
      <c r="O422" s="38">
        <f t="shared" ca="1" si="185"/>
        <v>99.283596837944657</v>
      </c>
      <c r="P422" s="38">
        <f t="shared" ca="1" si="186"/>
        <v>99.283596837944657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IFERROR(__xludf.DUMMYFUNCTION("IMPORTRANGE(""https://docs.google.com/spreadsheets/d/1QqKyyYR6Q21VydFLVH3TRQUabQu_ym0Zz7PgGX0-kHA/edit?usp=sharing"",""แผน!EY66"")"),80960)</f>
        <v>80960</v>
      </c>
      <c r="M424" s="45">
        <f ca="1">L424</f>
        <v>80960</v>
      </c>
      <c r="N424" s="45">
        <f>N425+N426+N427+N428</f>
        <v>80380</v>
      </c>
      <c r="O424" s="45">
        <f t="shared" ca="1" si="185"/>
        <v>99.283596837944657</v>
      </c>
      <c r="P424" s="45">
        <f t="shared" ca="1" si="186"/>
        <v>99.283596837944657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36500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29680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14200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0</v>
      </c>
      <c r="K433" s="191">
        <f t="shared" ref="K433:K435" ca="1" si="192">IF(I433&gt;0,J433*100/I433,0)</f>
        <v>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IFERROR(__xludf.DUMMYFUNCTION("IMPORTRANGE(""https://docs.google.com/spreadsheets/d/1QqKyyYR6Q21VydFLVH3TRQUabQu_ym0Zz7PgGX0-kHA/edit?usp=sharing"",""แผน!FC66"")"),15)</f>
        <v>15</v>
      </c>
      <c r="J435" s="546">
        <v>0</v>
      </c>
      <c r="K435" s="38">
        <f t="shared" ca="1" si="192"/>
        <v>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IFERROR(__xludf.DUMMYFUNCTION("IMPORTRANGE(""https://docs.google.com/spreadsheets/d/1QqKyyYR6Q21VydFLVH3TRQUabQu_ym0Zz7PgGX0-kHA/edit?usp=sharing"",""แผน!FD66"")"),0)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IFERROR(__xludf.DUMMYFUNCTION("IMPORTRANGE(""https://docs.google.com/spreadsheets/d/1QqKyyYR6Q21VydFLVH3TRQUabQu_ym0Zz7PgGX0-kHA/edit?usp=sharing"",""แผน!FE66"")"),0)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IFERROR(__xludf.DUMMYFUNCTION("IMPORTRANGE(""https://docs.google.com/spreadsheets/d/1QqKyyYR6Q21VydFLVH3TRQUabQu_ym0Zz7PgGX0-kHA/edit?usp=sharing"",""แผน!FF66"")"),15)</f>
        <v>15</v>
      </c>
      <c r="J439" s="54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30</v>
      </c>
      <c r="J442" s="552">
        <f t="shared" si="195"/>
        <v>30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100</v>
      </c>
      <c r="J443" s="533">
        <f t="shared" si="196"/>
        <v>100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180080</v>
      </c>
      <c r="M444" s="191">
        <f t="shared" ca="1" si="197"/>
        <v>180080</v>
      </c>
      <c r="N444" s="191">
        <f t="shared" si="197"/>
        <v>150000</v>
      </c>
      <c r="O444" s="191">
        <f t="shared" ref="O444:O449" ca="1" si="198">IF(L444&gt;0,N444*100/L444,0)</f>
        <v>83.296312749888941</v>
      </c>
      <c r="P444" s="191">
        <f t="shared" ref="P444:P449" ca="1" si="199">IF(M444&gt;0,N444*100/M444,0)</f>
        <v>83.296312749888941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180080</v>
      </c>
      <c r="M446" s="45">
        <f t="shared" ca="1" si="200"/>
        <v>180080</v>
      </c>
      <c r="N446" s="45">
        <f t="shared" si="200"/>
        <v>150000</v>
      </c>
      <c r="O446" s="45">
        <f t="shared" ca="1" si="198"/>
        <v>83.296312749888941</v>
      </c>
      <c r="P446" s="45">
        <f t="shared" ca="1" si="199"/>
        <v>83.296312749888941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180080</v>
      </c>
      <c r="M447" s="38">
        <f t="shared" ca="1" si="201"/>
        <v>180080</v>
      </c>
      <c r="N447" s="38">
        <f t="shared" si="201"/>
        <v>150000</v>
      </c>
      <c r="O447" s="38">
        <f t="shared" ca="1" si="198"/>
        <v>83.296312749888941</v>
      </c>
      <c r="P447" s="38">
        <f t="shared" ca="1" si="199"/>
        <v>83.296312749888941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IFERROR(__xludf.DUMMYFUNCTION("IMPORTRANGE(""https://docs.google.com/spreadsheets/d/1QqKyyYR6Q21VydFLVH3TRQUabQu_ym0Zz7PgGX0-kHA/edit?usp=sharing"",""แผน!FJ66"")"),180080)</f>
        <v>180080</v>
      </c>
      <c r="M449" s="45">
        <f ca="1">L449</f>
        <v>180080</v>
      </c>
      <c r="N449" s="45">
        <f>N450+N451+N452+N453</f>
        <v>150000</v>
      </c>
      <c r="O449" s="45">
        <f t="shared" ca="1" si="198"/>
        <v>83.296312749888941</v>
      </c>
      <c r="P449" s="45">
        <f t="shared" ca="1" si="199"/>
        <v>83.296312749888941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41540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104600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3860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IFERROR(__xludf.DUMMYFUNCTION("IMPORTRANGE(""https://docs.google.com/spreadsheets/d/1QqKyyYR6Q21VydFLVH3TRQUabQu_ym0Zz7PgGX0-kHA/edit?usp=sharing"",""แผน!FN66"")"),30)</f>
        <v>30</v>
      </c>
      <c r="J460" s="181">
        <v>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IFERROR(__xludf.DUMMYFUNCTION("IMPORTRANGE(""https://docs.google.com/spreadsheets/d/1QqKyyYR6Q21VydFLVH3TRQUabQu_ym0Zz7PgGX0-kHA/edit?usp=sharing"",""แผน!FO66"")"),100)</f>
        <v>100</v>
      </c>
      <c r="J462" s="181">
        <v>100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IFERROR(__xludf.DUMMYFUNCTION("IMPORTRANGE(""https://docs.google.com/spreadsheets/d/1QqKyyYR6Q21VydFLVH3TRQUabQu_ym0Zz7PgGX0-kHA/edit?usp=sharing"",""แผน!FO66"")"),100)</f>
        <v>100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IFERROR(__xludf.DUMMYFUNCTION("IMPORTRANGE(""https://docs.google.com/spreadsheets/d/1QqKyyYR6Q21VydFLVH3TRQUabQu_ym0Zz7PgGX0-kHA/edit?usp=sharing"",""แผน!FN66"")"),30)</f>
        <v>30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IFERROR(__xludf.DUMMYFUNCTION("IMPORTRANGE(""https://docs.google.com/spreadsheets/d/1QqKyyYR6Q21VydFLVH3TRQUabQu_ym0Zz7PgGX0-kHA/edit?usp=sharing"",""แผน!FX66"")"),21)</f>
        <v>21</v>
      </c>
      <c r="J465" s="552">
        <f>J485+J489+J492</f>
        <v>20</v>
      </c>
      <c r="K465" s="553">
        <f t="shared" ref="K465:K466" ca="1" si="205">IF(I465&gt;0,J465*100/I465,0)</f>
        <v>95.238095238095241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IFERROR(__xludf.DUMMYFUNCTION("IMPORTRANGE(""https://docs.google.com/spreadsheets/d/1QqKyyYR6Q21VydFLVH3TRQUabQu_ym0Zz7PgGX0-kHA/edit?usp=sharing"",""แผน!FW66"")"),200)</f>
        <v>200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180043</v>
      </c>
      <c r="M467" s="191">
        <f t="shared" ca="1" si="206"/>
        <v>180043</v>
      </c>
      <c r="N467" s="191">
        <f t="shared" si="206"/>
        <v>163891</v>
      </c>
      <c r="O467" s="191">
        <f t="shared" ref="O467:O472" ca="1" si="207">IF(L467&gt;0,N467*100/L467,0)</f>
        <v>91.028809784329297</v>
      </c>
      <c r="P467" s="191">
        <f t="shared" ref="P467:P472" ca="1" si="208">IF(M467&gt;0,N467*100/M467,0)</f>
        <v>91.028809784329297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180043</v>
      </c>
      <c r="M469" s="45">
        <f t="shared" ca="1" si="209"/>
        <v>180043</v>
      </c>
      <c r="N469" s="45">
        <f t="shared" si="209"/>
        <v>163891</v>
      </c>
      <c r="O469" s="45">
        <f t="shared" ca="1" si="207"/>
        <v>91.028809784329297</v>
      </c>
      <c r="P469" s="45">
        <f t="shared" ca="1" si="208"/>
        <v>91.028809784329297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180043</v>
      </c>
      <c r="M470" s="38">
        <f t="shared" ca="1" si="210"/>
        <v>180043</v>
      </c>
      <c r="N470" s="38">
        <f t="shared" si="210"/>
        <v>163891</v>
      </c>
      <c r="O470" s="38">
        <f t="shared" ca="1" si="207"/>
        <v>91.028809784329297</v>
      </c>
      <c r="P470" s="38">
        <f t="shared" ca="1" si="208"/>
        <v>91.028809784329297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IFERROR(__xludf.DUMMYFUNCTION("IMPORTRANGE(""https://docs.google.com/spreadsheets/d/1QqKyyYR6Q21VydFLVH3TRQUabQu_ym0Zz7PgGX0-kHA/edit?usp=sharing"",""แผน!FS66"")"),180043)</f>
        <v>180043</v>
      </c>
      <c r="M472" s="45">
        <f ca="1">L472</f>
        <v>180043</v>
      </c>
      <c r="N472" s="45">
        <f>N473+N474+N475+N476</f>
        <v>163891</v>
      </c>
      <c r="O472" s="45">
        <f t="shared" ca="1" si="207"/>
        <v>91.028809784329297</v>
      </c>
      <c r="P472" s="45">
        <f t="shared" ca="1" si="208"/>
        <v>91.028809784329297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24903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130100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8888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IFERROR(__xludf.DUMMYFUNCTION("IMPORTRANGE(""https://docs.google.com/spreadsheets/d/1QqKyyYR6Q21VydFLVH3TRQUabQu_ym0Zz7PgGX0-kHA/edit?usp=sharing"",""แผน!FY66"")"),180)</f>
        <v>180</v>
      </c>
      <c r="J483" s="181">
        <v>180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IFERROR(__xludf.DUMMYFUNCTION("IMPORTRANGE(""https://docs.google.com/spreadsheets/d/1QqKyyYR6Q21VydFLVH3TRQUabQu_ym0Zz7PgGX0-kHA/edit?usp=sharing"",""แผน!FZ66"")"),18)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IFERROR(__xludf.DUMMYFUNCTION("IMPORTRANGE(""https://docs.google.com/spreadsheets/d/1QqKyyYR6Q21VydFLVH3TRQUabQu_ym0Zz7PgGX0-kHA/edit?usp=sharing"",""แผน!GA66"")"),20)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IFERROR(__xludf.DUMMYFUNCTION("IMPORTRANGE(""https://docs.google.com/spreadsheets/d/1QqKyyYR6Q21VydFLVH3TRQUabQu_ym0Zz7PgGX0-kHA/edit?usp=sharing"",""แผน!GB66"")"),2)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IFERROR(__xludf.DUMMYFUNCTION("IMPORTRANGE(""https://docs.google.com/spreadsheets/d/1QqKyyYR6Q21VydFLVH3TRQUabQu_ym0Zz7PgGX0-kHA/edit?usp=sharing"",""แผน!GC66"")"),1)</f>
        <v>1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IFERROR(__xludf.DUMMYFUNCTION("IMPORTRANGE(""https://docs.google.com/spreadsheets/d/1QqKyyYR6Q21VydFLVH3TRQUabQu_ym0Zz7PgGX0-kHA/edit?usp=sharing"",""แผน!FY66"")"),180)</f>
        <v>180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IFERROR(__xludf.DUMMYFUNCTION("IMPORTRANGE(""https://docs.google.com/spreadsheets/d/1QqKyyYR6Q21VydFLVH3TRQUabQu_ym0Zz7PgGX0-kHA/edit?usp=sharing"",""แผน!GA66"")"),20)</f>
        <v>20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IFERROR(__xludf.DUMMYFUNCTION("IMPORTRANGE(""https://docs.google.com/spreadsheets/d/1QqKyyYR6Q21VydFLVH3TRQUabQu_ym0Zz7PgGX0-kHA/edit?usp=sharing"",""แผน!GQ66"")"),0)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IFERROR(__xludf.DUMMYFUNCTION("IMPORTRANGE(""https://docs.google.com/spreadsheets/d/1QqKyyYR6Q21VydFLVH3TRQUabQu_ym0Zz7PgGX0-kHA/edit?usp=sharing"",""แผน!GU66"")"),0)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IFERROR(__xludf.DUMMYFUNCTION("IMPORTRANGE(""https://docs.google.com/spreadsheets/d/1QqKyyYR6Q21VydFLVH3TRQUabQu_ym0Zz7PgGX0-kHA/edit?usp=sharing"",""แผน!GV66"")"),0)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IFERROR(__xludf.DUMMYFUNCTION("IMPORTRANGE(""https://docs.google.com/spreadsheets/d/1QqKyyYR6Q21VydFLVH3TRQUabQu_ym0Zz7PgGX0-kHA/edit?usp=sharing"",""แผน!GZ66"")"),0)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236000</v>
      </c>
      <c r="M544" s="154">
        <f t="shared" ca="1" si="236"/>
        <v>236000</v>
      </c>
      <c r="N544" s="154">
        <f t="shared" si="236"/>
        <v>193094</v>
      </c>
      <c r="O544" s="154">
        <f t="shared" ref="O544:O549" ca="1" si="237">IF(L544&gt;0,N544*100/L544,0)</f>
        <v>81.819491525423729</v>
      </c>
      <c r="P544" s="154">
        <f t="shared" ref="P544:P549" ca="1" si="238">IF(M544&gt;0,N544*100/M544,0)</f>
        <v>81.819491525423729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236000</v>
      </c>
      <c r="M546" s="45">
        <f t="shared" ca="1" si="240"/>
        <v>236000</v>
      </c>
      <c r="N546" s="45">
        <f t="shared" si="240"/>
        <v>193094</v>
      </c>
      <c r="O546" s="45">
        <f t="shared" ca="1" si="237"/>
        <v>81.819491525423729</v>
      </c>
      <c r="P546" s="45">
        <f t="shared" ca="1" si="238"/>
        <v>81.819491525423729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236000</v>
      </c>
      <c r="M547" s="38">
        <f t="shared" ca="1" si="241"/>
        <v>236000</v>
      </c>
      <c r="N547" s="38">
        <f t="shared" si="241"/>
        <v>193094</v>
      </c>
      <c r="O547" s="38">
        <f t="shared" ca="1" si="237"/>
        <v>81.819491525423729</v>
      </c>
      <c r="P547" s="38">
        <f t="shared" ca="1" si="238"/>
        <v>81.819491525423729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IFERROR(__xludf.DUMMYFUNCTION("IMPORTRANGE(""https://docs.google.com/spreadsheets/d/1QqKyyYR6Q21VydFLVH3TRQUabQu_ym0Zz7PgGX0-kHA/edit?usp=sharing"",""แผน!HB66"")"),236000)</f>
        <v>236000</v>
      </c>
      <c r="M549" s="45">
        <f ca="1">L549</f>
        <v>236000</v>
      </c>
      <c r="N549" s="45">
        <f>N550+N551+N552+N553+N554</f>
        <v>193094</v>
      </c>
      <c r="O549" s="45">
        <f t="shared" ca="1" si="237"/>
        <v>81.819491525423729</v>
      </c>
      <c r="P549" s="45">
        <f t="shared" ca="1" si="238"/>
        <v>81.819491525423729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79940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100094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13060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IFERROR(__xludf.DUMMYFUNCTION("IMPORTRANGE(""https://docs.google.com/spreadsheets/d/1QqKyyYR6Q21VydFLVH3TRQUabQu_ym0Zz7PgGX0-kHA/edit?usp=sharing"",""แผน!HH66"")"),0)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IFERROR(__xludf.DUMMYFUNCTION("IMPORTRANGE(""https://docs.google.com/spreadsheets/d/1QqKyyYR6Q21VydFLVH3TRQUabQu_ym0Zz7PgGX0-kHA/edit?usp=sharing"",""แผน!HG66"")"),0)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IFERROR(__xludf.DUMMYFUNCTION("IMPORTRANGE(""https://docs.google.com/spreadsheets/d/1QqKyyYR6Q21VydFLVH3TRQUabQu_ym0Zz7PgGX0-kHA/edit?usp=sharing"",""แผน!HH66"")"),0)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IFERROR(__xludf.DUMMYFUNCTION("IMPORTRANGE(""https://docs.google.com/spreadsheets/d/1QqKyyYR6Q21VydFLVH3TRQUabQu_ym0Zz7PgGX0-kHA/edit?usp=sharing"",""แผน!HG66"")"),0)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IFERROR(__xludf.DUMMYFUNCTION("IMPORTRANGE(""https://docs.google.com/spreadsheets/d/1QqKyyYR6Q21VydFLVH3TRQUabQu_ym0Zz7PgGX0-kHA/edit?usp=sharing"",""แผน!HH66"")"),0)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IFERROR(__xludf.DUMMYFUNCTION("IMPORTRANGE(""https://docs.google.com/spreadsheets/d/1QqKyyYR6Q21VydFLVH3TRQUabQu_ym0Zz7PgGX0-kHA/edit?usp=sharing"",""แผน!HG66"")"),0)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1292.23</v>
      </c>
      <c r="J592" s="627">
        <f t="shared" si="253"/>
        <v>595</v>
      </c>
      <c r="K592" s="628">
        <f t="shared" ref="K592:K594" ca="1" si="254">IF(I592&gt;0,J592*100/I592,0)</f>
        <v>46.044434814235856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IFERROR(__xludf.DUMMYFUNCTION("IMPORTRANGE(""https://docs.google.com/spreadsheets/d/1QqKyyYR6Q21VydFLVH3TRQUabQu_ym0Zz7PgGX0-kHA/edit?usp=sharing"",""แผน!HJ66"")"),1292.23)</f>
        <v>1292.23</v>
      </c>
      <c r="J593" s="189">
        <f t="shared" ref="J593:J594" si="255">J595+J603+J609</f>
        <v>595</v>
      </c>
      <c r="K593" s="390">
        <f t="shared" ca="1" si="254"/>
        <v>46.044434814235856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IFERROR(__xludf.DUMMYFUNCTION("IMPORTRANGE(""https://docs.google.com/spreadsheets/d/1QqKyyYR6Q21VydFLVH3TRQUabQu_ym0Zz7PgGX0-kHA/edit?usp=sharing"",""แผน!HI66"")"),80)</f>
        <v>80</v>
      </c>
      <c r="J594" s="189">
        <f t="shared" si="255"/>
        <v>37</v>
      </c>
      <c r="K594" s="390">
        <f t="shared" ca="1" si="254"/>
        <v>46.25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367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22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84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6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283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16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228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15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228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15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IFERROR(__xludf.DUMMYFUNCTION("IMPORTRANGE(""https://docs.google.com/spreadsheets/d/1QqKyyYR6Q21VydFLVH3TRQUabQu_ym0Zz7PgGX0-kHA/edit?usp=sharing"",""แผน!HL66"")"),0)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IFERROR(__xludf.DUMMYFUNCTION("IMPORTRANGE(""https://docs.google.com/spreadsheets/d/1QqKyyYR6Q21VydFLVH3TRQUabQu_ym0Zz7PgGX0-kHA/edit?usp=sharing"",""แผน!HK66"")"),0)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19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173410</v>
      </c>
      <c r="M629" s="191">
        <f t="shared" ca="1" si="263"/>
        <v>173410</v>
      </c>
      <c r="N629" s="191">
        <f t="shared" si="263"/>
        <v>10150</v>
      </c>
      <c r="O629" s="191">
        <f t="shared" ref="O629:O634" ca="1" si="264">IF(L629&gt;0,N629*100/L629,0)</f>
        <v>5.8531803240874227</v>
      </c>
      <c r="P629" s="191">
        <f t="shared" ref="P629:P634" ca="1" si="265">IF(M629&gt;0,N629*100/M629,0)</f>
        <v>5.8531803240874227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173410</v>
      </c>
      <c r="M631" s="45">
        <f t="shared" ca="1" si="266"/>
        <v>173410</v>
      </c>
      <c r="N631" s="45">
        <f t="shared" si="266"/>
        <v>10150</v>
      </c>
      <c r="O631" s="45">
        <f t="shared" ca="1" si="264"/>
        <v>5.8531803240874227</v>
      </c>
      <c r="P631" s="45">
        <f t="shared" ca="1" si="265"/>
        <v>5.8531803240874227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173410</v>
      </c>
      <c r="M632" s="38">
        <f t="shared" ca="1" si="267"/>
        <v>173410</v>
      </c>
      <c r="N632" s="38">
        <f t="shared" si="267"/>
        <v>10150</v>
      </c>
      <c r="O632" s="38">
        <f t="shared" ca="1" si="264"/>
        <v>5.8531803240874227</v>
      </c>
      <c r="P632" s="38">
        <f t="shared" ca="1" si="265"/>
        <v>5.8531803240874227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IFERROR(__xludf.DUMMYFUNCTION("IMPORTRANGE(""https://docs.google.com/spreadsheets/d/1QqKyyYR6Q21VydFLVH3TRQUabQu_ym0Zz7PgGX0-kHA/edit?usp=sharing"",""แผน!HN66"")"),173410)</f>
        <v>173410</v>
      </c>
      <c r="M634" s="45">
        <f ca="1">L634</f>
        <v>173410</v>
      </c>
      <c r="N634" s="45">
        <f>N635+N636+N637+N638</f>
        <v>10150</v>
      </c>
      <c r="O634" s="45">
        <f t="shared" ca="1" si="264"/>
        <v>5.8531803240874227</v>
      </c>
      <c r="P634" s="45">
        <f t="shared" ca="1" si="265"/>
        <v>5.8531803240874227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10150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IFERROR(__xludf.DUMMYFUNCTION("IMPORTRANGE(""https://docs.google.com/spreadsheets/d/1QqKyyYR6Q21VydFLVH3TRQUabQu_ym0Zz7PgGX0-kHA/edit?usp=sharing"",""แผน!HR66"")"),1)</f>
        <v>1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IFERROR(__xludf.DUMMYFUNCTION("IMPORTRANGE(""https://docs.google.com/spreadsheets/d/1QqKyyYR6Q21VydFLVH3TRQUabQu_ym0Zz7PgGX0-kHA/edit?usp=sharing"",""แผน!HR66"")"),1)</f>
        <v>1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IFERROR(__xludf.DUMMYFUNCTION("IMPORTRANGE(""https://docs.google.com/spreadsheets/d/1XWAQStnk-4SwqDmLtmXYiTMKHgktTP8We1SCoS47DrQ/edit?usp=sharing"",""จัดที่ดิน!AS66"")"),23)</f>
        <v>23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IFERROR(__xludf.DUMMYFUNCTION("IMPORTRANGE(""https://docs.google.com/spreadsheets/d/1XWAQStnk-4SwqDmLtmXYiTMKHgktTP8We1SCoS47DrQ/edit?usp=sharing"",""จัดที่ดิน!AT66"")"),13.53)</f>
        <v>13.53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IFERROR(__xludf.DUMMYFUNCTION("IMPORTRANGE(""https://docs.google.com/spreadsheets/d/1QqKyyYR6Q21VydFLVH3TRQUabQu_ym0Zz7PgGX0-kHA/edit?usp=sharing"",""แผน!HS66"")"),19)</f>
        <v>19</v>
      </c>
      <c r="J647" s="37">
        <f ca="1">IFERROR(__xludf.DUMMYFUNCTION("IMPORTRANGE(""https://docs.google.com/spreadsheets/d/1XWAQStnk-4SwqDmLtmXYiTMKHgktTP8We1SCoS47DrQ/edit?usp=sharing"",""จัดที่ดิน!AU66"")"),1)</f>
        <v>1</v>
      </c>
      <c r="K647" s="162">
        <f t="shared" ca="1" si="271"/>
        <v>5.2631578947368425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IFERROR(__xludf.DUMMYFUNCTION("IMPORTRANGE(""https://docs.google.com/spreadsheets/d/1XWAQStnk-4SwqDmLtmXYiTMKHgktTP8We1SCoS47DrQ/edit?usp=sharing"",""จัดที่ดิน!AV66"")"),0.47)</f>
        <v>0.47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IFERROR(__xludf.DUMMYFUNCTION("IMPORTRANGE(""https://docs.google.com/spreadsheets/d/1QqKyyYR6Q21VydFLVH3TRQUabQu_ym0Zz7PgGX0-kHA/edit?usp=sharing"",""แผน!HS66"")"),19)</f>
        <v>19</v>
      </c>
      <c r="J649" s="37">
        <f ca="1">IFERROR(__xludf.DUMMYFUNCTION("IMPORTRANGE(""https://docs.google.com/spreadsheets/d/1XWAQStnk-4SwqDmLtmXYiTMKHgktTP8We1SCoS47DrQ/edit?usp=sharing"",""จัดที่ดิน!AW66"")"),0)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IFERROR(__xludf.DUMMYFUNCTION("IMPORTRANGE(""https://docs.google.com/spreadsheets/d/1XWAQStnk-4SwqDmLtmXYiTMKHgktTP8We1SCoS47DrQ/edit?usp=sharing"",""จัดที่ดิน!AX66"")"),0)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IFERROR(__xludf.DUMMYFUNCTION("IMPORTRANGE(""https://docs.google.com/spreadsheets/d/1QqKyyYR6Q21VydFLVH3TRQUabQu_ym0Zz7PgGX0-kHA/edit?usp=sharing"",""แผน!HS66"")"),19)</f>
        <v>19</v>
      </c>
      <c r="J651" s="37">
        <f ca="1">IFERROR(__xludf.DUMMYFUNCTION("IMPORTRANGE(""https://docs.google.com/spreadsheets/d/1XWAQStnk-4SwqDmLtmXYiTMKHgktTP8We1SCoS47DrQ/edit?usp=sharing"",""จัดที่ดิน!AY66"")"),0)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IFERROR(__xludf.DUMMYFUNCTION("IMPORTRANGE(""https://docs.google.com/spreadsheets/d/1XWAQStnk-4SwqDmLtmXYiTMKHgktTP8We1SCoS47DrQ/edit?usp=sharing"",""จัดที่ดิน!AZ66"")"),0)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 hidden="1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IFERROR(__xludf.DUMMYFUNCTION("IMPORTRANGE(""https://docs.google.com/spreadsheets/d/1QqKyyYR6Q21VydFLVH3TRQUabQu_ym0Zz7PgGX0-kHA/edit?usp=sharing"",""แผน!HV66"")"),0)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IFERROR(__xludf.DUMMYFUNCTION("IMPORTRANGE(""https://docs.google.com/spreadsheets/d/1QqKyyYR6Q21VydFLVH3TRQUabQu_ym0Zz7PgGX0-kHA/edit?usp=sharing"",""แผน!IA66"")"),0)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IFERROR(__xludf.DUMMYFUNCTION("IMPORTRANGE(""https://docs.google.com/spreadsheets/d/1QqKyyYR6Q21VydFLVH3TRQUabQu_ym0Zz7PgGX0-kHA/edit?usp=sharing"",""แผน!HZ66"")"),0)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IFERROR(__xludf.DUMMYFUNCTION("IMPORTRANGE(""https://docs.google.com/spreadsheets/d/1QqKyyYR6Q21VydFLVH3TRQUabQu_ym0Zz7PgGX0-kHA/edit?usp=sharing"",""แผน!HZ66"")"),0)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 hidden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 hidden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 hidden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IFERROR(__xludf.DUMMYFUNCTION("IMPORTRANGE(""https://docs.google.com/spreadsheets/d/1QqKyyYR6Q21VydFLVH3TRQUabQu_ym0Zz7PgGX0-kHA/edit?usp=sharing"",""แผน!HW66"")"),0)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 hidden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 hidden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 hidden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 hidden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 hidden="1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 hidden="1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 hidden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IFERROR(__xludf.DUMMYFUNCTION("IMPORTRANGE(""https://docs.google.com/spreadsheets/d/1QqKyyYR6Q21VydFLVH3TRQUabQu_ym0Zz7PgGX0-kHA/edit?usp=sharing"",""แผน!IC66"")"),0)</f>
        <v>0</v>
      </c>
      <c r="J699" s="37">
        <f ca="1">IFERROR(__xludf.DUMMYFUNCTION("IMPORTRANGE(""https://docs.google.com/spreadsheets/d/1XWAQStnk-4SwqDmLtmXYiTMKHgktTP8We1SCoS47DrQ/edit?usp=sharing"",""จัดที่ดิน!BB66"")"),0)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 hidden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IFERROR(__xludf.DUMMYFUNCTION("IMPORTRANGE(""https://docs.google.com/spreadsheets/d/1QqKyyYR6Q21VydFLVH3TRQUabQu_ym0Zz7PgGX0-kHA/edit?usp=sharing"",""แผน!ID66"")"),0)</f>
        <v>0</v>
      </c>
      <c r="J700" s="37">
        <f ca="1">IFERROR(__xludf.DUMMYFUNCTION("IMPORTRANGE(""https://docs.google.com/spreadsheets/d/1XWAQStnk-4SwqDmLtmXYiTMKHgktTP8We1SCoS47DrQ/edit?usp=sharing"",""จัดที่ดิน!BD66"")"),0)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 hidden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 hidden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 hidden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 hidden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IFERROR(__xludf.DUMMYFUNCTION("IMPORTRANGE(""https://docs.google.com/spreadsheets/d/1QqKyyYR6Q21VydFLVH3TRQUabQu_ym0Zz7PgGX0-kHA/edit?usp=sharing"",""แผน!IF66"")"),0)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 hidden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 hidden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 hidden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IFERROR(__xludf.DUMMYFUNCTION("IMPORTRANGE(""https://docs.google.com/spreadsheets/d/1QqKyyYR6Q21VydFLVH3TRQUabQu_ym0Zz7PgGX0-kHA/edit?usp=sharing"",""แผน!IG66"")"),0)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 hidden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 hidden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 hidden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 hidden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 hidden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 hidden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 hidden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 hidden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 hidden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 hidden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 hidden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IFERROR(__xludf.DUMMYFUNCTION("IMPORTRANGE(""https://docs.google.com/spreadsheets/d/1XWAQStnk-4SwqDmLtmXYiTMKHgktTP8We1SCoS47DrQ/edit?usp=sharing"",""จัดที่ดิน!BF66"")"),0)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 hidden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IFERROR(__xludf.DUMMYFUNCTION("IMPORTRANGE(""https://docs.google.com/spreadsheets/d/1XWAQStnk-4SwqDmLtmXYiTMKHgktTP8We1SCoS47DrQ/edit?usp=sharing"",""จัดที่ดิน!BG66"")"),0)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 hidden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IFERROR(__xludf.DUMMYFUNCTION("IMPORTRANGE(""https://docs.google.com/spreadsheets/d/1QqKyyYR6Q21VydFLVH3TRQUabQu_ym0Zz7PgGX0-kHA/edit?usp=sharing"",""แผน!II66"")"),0)</f>
        <v>0</v>
      </c>
      <c r="J720" s="37">
        <f ca="1">IFERROR(__xludf.DUMMYFUNCTION("IMPORTRANGE(""https://docs.google.com/spreadsheets/d/1XWAQStnk-4SwqDmLtmXYiTMKHgktTP8We1SCoS47DrQ/edit?usp=sharing"",""จัดที่ดิน!BH66"")"),0)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 hidden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IFERROR(__xludf.DUMMYFUNCTION("IMPORTRANGE(""https://docs.google.com/spreadsheets/d/1QqKyyYR6Q21VydFLVH3TRQUabQu_ym0Zz7PgGX0-kHA/edit?usp=sharing"",""แผน!IJ66"")"),0)</f>
        <v>0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 hidden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 hidden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IFERROR(__xludf.DUMMYFUNCTION("IMPORTRANGE(""https://docs.google.com/spreadsheets/d/1QqKyyYR6Q21VydFLVH3TRQUabQu_ym0Zz7PgGX0-kHA/edit?usp=sharing"",""แผน!IL66"")"),0)</f>
        <v>0</v>
      </c>
      <c r="J723" s="37">
        <f ca="1">IFERROR(__xludf.DUMMYFUNCTION("IMPORTRANGE(""https://docs.google.com/spreadsheets/d/1XWAQStnk-4SwqDmLtmXYiTMKHgktTP8We1SCoS47DrQ/edit?usp=sharing"",""จัดที่ดิน!BM66"")"),0)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 hidden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IFERROR(__xludf.DUMMYFUNCTION("IMPORTRANGE(""https://docs.google.com/spreadsheets/d/1XWAQStnk-4SwqDmLtmXYiTMKHgktTP8We1SCoS47DrQ/edit?usp=sharing"",""จัดที่ดิน!BN66"")"),0)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 hidden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IFERROR(__xludf.DUMMYFUNCTION("IMPORTRANGE(""https://docs.google.com/spreadsheets/d/1QqKyyYR6Q21VydFLVH3TRQUabQu_ym0Zz7PgGX0-kHA/edit?usp=sharing"",""แผน!IM66"")"),0)</f>
        <v>0</v>
      </c>
      <c r="J725" s="37">
        <f ca="1">IFERROR(__xludf.DUMMYFUNCTION("IMPORTRANGE(""https://docs.google.com/spreadsheets/d/1XWAQStnk-4SwqDmLtmXYiTMKHgktTP8We1SCoS47DrQ/edit?usp=sharing"",""จัดที่ดิน!BO66"")"),0)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 hidden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IFERROR(__xludf.DUMMYFUNCTION("IMPORTRANGE(""https://docs.google.com/spreadsheets/d/1QqKyyYR6Q21VydFLVH3TRQUabQu_ym0Zz7PgGX0-kHA/edit?usp=sharing"",""แผน!IN66"")"),0)</f>
        <v>0</v>
      </c>
      <c r="J726" s="37">
        <f ca="1">IFERROR(__xludf.DUMMYFUNCTION("IMPORTRANGE(""https://docs.google.com/spreadsheets/d/1XWAQStnk-4SwqDmLtmXYiTMKHgktTP8We1SCoS47DrQ/edit?usp=sharing"",""จัดที่ดิน!BR66"")"),0)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 hidden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IFERROR(__xludf.DUMMYFUNCTION("IMPORTRANGE(""https://docs.google.com/spreadsheets/d/1XWAQStnk-4SwqDmLtmXYiTMKHgktTP8We1SCoS47DrQ/edit?usp=sharing"",""จัดที่ดิน!BS66"")"),0)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 hidden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IFERROR(__xludf.DUMMYFUNCTION("IMPORTRANGE(""https://docs.google.com/spreadsheets/d/1QqKyyYR6Q21VydFLVH3TRQUabQu_ym0Zz7PgGX0-kHA/edit?usp=sharing"",""แผน!IO66"")"),0)</f>
        <v>0</v>
      </c>
      <c r="J728" s="37">
        <f ca="1">IFERROR(__xludf.DUMMYFUNCTION("IMPORTRANGE(""https://docs.google.com/spreadsheets/d/1XWAQStnk-4SwqDmLtmXYiTMKHgktTP8We1SCoS47DrQ/edit?usp=sharing"",""จัดที่ดิน!BT66"")"),0)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 hidden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 hidden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 hidden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 hidden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 hidden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 hidden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 hidden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IFERROR(__xludf.DUMMYFUNCTION("IMPORTRANGE(""https://docs.google.com/spreadsheets/d/1QqKyyYR6Q21VydFLVH3TRQUabQu_ym0Zz7PgGX0-kHA/edit?usp=sharing"",""แผน!JJ66"")"),0)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IFERROR(__xludf.DUMMYFUNCTION("IMPORTRANGE(""https://docs.google.com/spreadsheets/d/1QqKyyYR6Q21VydFLVH3TRQUabQu_ym0Zz7PgGX0-kHA/edit?usp=sharing"",""แผน!JN66"")"),0)</f>
        <v>0</v>
      </c>
      <c r="J800" s="161">
        <f ca="1">IFERROR(__xludf.DUMMYFUNCTION("IMPORTRANGE(""https://docs.google.com/spreadsheets/d/1MaWodYyGHDf7siQLGxnXhG4mBNTNIuy296niS2xXulU/edit?usp=sharing"",""RTK!H66"")"),0)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IFERROR(__xludf.DUMMYFUNCTION("IMPORTRANGE(""https://docs.google.com/spreadsheets/d/1MaWodYyGHDf7siQLGxnXhG4mBNTNIuy296niS2xXulU/edit?usp=sharing"",""RTK!I66"")"),0)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IFERROR(__xludf.DUMMYFUNCTION("IMPORTRANGE(""https://docs.google.com/spreadsheets/d/19vJNZY_5yjcGF2XGBMNZRCAIB0Kwfpjp8YEOfu-bneM/edit?usp=sharing"",""งานกองทุน!D66"")"),2551297.69)</f>
        <v>2551297.69</v>
      </c>
      <c r="J821" s="37">
        <f ca="1">IFERROR(__xludf.DUMMYFUNCTION("IMPORTRANGE(""https://docs.google.com/spreadsheets/d/19vJNZY_5yjcGF2XGBMNZRCAIB0Kwfpjp8YEOfu-bneM/edit?usp=sharing"",""งานกองทุน!F66"")"),1843876.99)</f>
        <v>1843876.99</v>
      </c>
      <c r="K821" s="38">
        <f t="shared" ref="K821:K828" ca="1" si="335">IF(I821&gt;0,J821*100/I821,0)</f>
        <v>72.272122427234279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IFERROR(__xludf.DUMMYFUNCTION("IMPORTRANGE(""https://docs.google.com/spreadsheets/d/19vJNZY_5yjcGF2XGBMNZRCAIB0Kwfpjp8YEOfu-bneM/edit?usp=sharing"",""งานกองทุน!C66"")"),157)</f>
        <v>157</v>
      </c>
      <c r="J822" s="37">
        <f ca="1">IFERROR(__xludf.DUMMYFUNCTION("IMPORTRANGE(""https://docs.google.com/spreadsheets/d/19vJNZY_5yjcGF2XGBMNZRCAIB0Kwfpjp8YEOfu-bneM/edit?usp=sharing"",""งานกองทุน!E66"")"),107)</f>
        <v>107</v>
      </c>
      <c r="K822" s="38">
        <f t="shared" ca="1" si="335"/>
        <v>68.152866242038215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37">
        <f ca="1">IFERROR(__xludf.DUMMYFUNCTION("IMPORTRANGE(""https://docs.google.com/spreadsheets/d/19vJNZY_5yjcGF2XGBMNZRCAIB0Kwfpjp8YEOfu-bneM/edit?usp=sharing"",""งานกองทุน!K66"")"),187116.06)</f>
        <v>187116.06</v>
      </c>
      <c r="K823" s="38">
        <f t="shared" ca="1" si="335"/>
        <v>15.885750388159318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IFERROR(__xludf.DUMMYFUNCTION("IMPORTRANGE(""https://docs.google.com/spreadsheets/d/19vJNZY_5yjcGF2XGBMNZRCAIB0Kwfpjp8YEOfu-bneM/edit?usp=sharing"",""งานกองทุน!H66"")"),37)</f>
        <v>37</v>
      </c>
      <c r="J824" s="37">
        <f ca="1">IFERROR(__xludf.DUMMYFUNCTION("IMPORTRANGE(""https://docs.google.com/spreadsheets/d/19vJNZY_5yjcGF2XGBMNZRCAIB0Kwfpjp8YEOfu-bneM/edit?usp=sharing"",""งานกองทุน!J66"")"),14)</f>
        <v>14</v>
      </c>
      <c r="K824" s="38">
        <f t="shared" ca="1" si="335"/>
        <v>37.837837837837839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IFERROR(__xludf.DUMMYFUNCTION("IMPORTRANGE(""https://docs.google.com/spreadsheets/d/19vJNZY_5yjcGF2XGBMNZRCAIB0Kwfpjp8YEOfu-bneM/edit?usp=sharing"",""งานกองทุน!N66"")"),0)</f>
        <v>0</v>
      </c>
      <c r="J825" s="37">
        <f ca="1">IFERROR(__xludf.DUMMYFUNCTION("IMPORTRANGE(""https://docs.google.com/spreadsheets/d/19vJNZY_5yjcGF2XGBMNZRCAIB0Kwfpjp8YEOfu-bneM/edit?usp=sharing"",""งานกองทุน!P66"")"),0)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IFERROR(__xludf.DUMMYFUNCTION("IMPORTRANGE(""https://docs.google.com/spreadsheets/d/19vJNZY_5yjcGF2XGBMNZRCAIB0Kwfpjp8YEOfu-bneM/edit?usp=sharing"",""งานกองทุน!M66"")"),0)</f>
        <v>0</v>
      </c>
      <c r="J826" s="37">
        <f ca="1">IFERROR(__xludf.DUMMYFUNCTION("IMPORTRANGE(""https://docs.google.com/spreadsheets/d/19vJNZY_5yjcGF2XGBMNZRCAIB0Kwfpjp8YEOfu-bneM/edit?usp=sharing"",""งานกองทุน!O66"")"),0)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IFERROR(__xludf.DUMMYFUNCTION("IMPORTRANGE(""https://docs.google.com/spreadsheets/d/19vJNZY_5yjcGF2XGBMNZRCAIB0Kwfpjp8YEOfu-bneM/edit?usp=sharing"",""งานกองทุน!S66"")"),2500000)</f>
        <v>2500000</v>
      </c>
      <c r="J827" s="37">
        <f ca="1">IFERROR(__xludf.DUMMYFUNCTION("IMPORTRANGE(""https://docs.google.com/spreadsheets/d/19vJNZY_5yjcGF2XGBMNZRCAIB0Kwfpjp8YEOfu-bneM/edit?usp=sharing"",""งานกองทุน!U66"")"),2020000)</f>
        <v>2020000</v>
      </c>
      <c r="K827" s="38">
        <f t="shared" ca="1" si="335"/>
        <v>80.8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IFERROR(__xludf.DUMMYFUNCTION("IMPORTRANGE(""https://docs.google.com/spreadsheets/d/19vJNZY_5yjcGF2XGBMNZRCAIB0Kwfpjp8YEOfu-bneM/edit?usp=sharing"",""งานกองทุน!R66"")"),72)</f>
        <v>72</v>
      </c>
      <c r="J828" s="365">
        <f ca="1">IFERROR(__xludf.DUMMYFUNCTION("IMPORTRANGE(""https://docs.google.com/spreadsheets/d/19vJNZY_5yjcGF2XGBMNZRCAIB0Kwfpjp8YEOfu-bneM/edit?usp=sharing"",""งานกองทุน!T66"")"),43)</f>
        <v>43</v>
      </c>
      <c r="K828" s="472">
        <f t="shared" ca="1" si="335"/>
        <v>59.722222222222221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8CA26-22D1-4F29-B0EB-83A4CDB837E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354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4567184</v>
      </c>
      <c r="N8" s="22">
        <f t="shared" ca="1" si="0"/>
        <v>3607807.77</v>
      </c>
      <c r="O8" s="22">
        <f t="shared" ref="O8:O16" ca="1" si="1">IF(L8&gt;0,N8*100/L8,0)</f>
        <v>86.548723434267444</v>
      </c>
      <c r="P8" s="22">
        <f t="shared" ref="P8:P16" ca="1" si="2">IF(M8&gt;0,N8*100/M8,0)</f>
        <v>78.99414102869514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4567184</v>
      </c>
      <c r="N10" s="30">
        <f t="shared" ca="1" si="3"/>
        <v>3607807.77</v>
      </c>
      <c r="O10" s="30">
        <f t="shared" ca="1" si="1"/>
        <v>86.548723434267444</v>
      </c>
      <c r="P10" s="30">
        <f t="shared" ca="1" si="2"/>
        <v>78.99414102869514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4099528</v>
      </c>
      <c r="M11" s="38">
        <f t="shared" ca="1" si="4"/>
        <v>4498184</v>
      </c>
      <c r="N11" s="38">
        <f t="shared" ca="1" si="4"/>
        <v>3538807.77</v>
      </c>
      <c r="O11" s="38">
        <f t="shared" ca="1" si="1"/>
        <v>86.322322228315059</v>
      </c>
      <c r="P11" s="38">
        <f t="shared" ca="1" si="2"/>
        <v>78.67192115751601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4099528</v>
      </c>
      <c r="M13" s="45">
        <f t="shared" ca="1" si="5"/>
        <v>4498184</v>
      </c>
      <c r="N13" s="45">
        <f t="shared" ca="1" si="5"/>
        <v>3538807.77</v>
      </c>
      <c r="O13" s="45">
        <f t="shared" ca="1" si="1"/>
        <v>86.322322228315059</v>
      </c>
      <c r="P13" s="45">
        <f t="shared" ca="1" si="2"/>
        <v>78.67192115751601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69000</v>
      </c>
      <c r="M14" s="38">
        <f t="shared" ca="1" si="6"/>
        <v>69000</v>
      </c>
      <c r="N14" s="38">
        <f t="shared" ca="1" si="6"/>
        <v>69000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3104886</v>
      </c>
      <c r="N18" s="22">
        <f t="shared" ca="1" si="8"/>
        <v>2522095.7999999998</v>
      </c>
      <c r="O18" s="22">
        <f t="shared" ref="O18:O26" ca="1" si="9">IF(L18&gt;0,N18*100/L18,0)</f>
        <v>93.260012498289797</v>
      </c>
      <c r="P18" s="22">
        <f t="shared" ref="P18:P26" ca="1" si="10">IF(M18&gt;0,N18*100/M18,0)</f>
        <v>81.229900228220927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3104886</v>
      </c>
      <c r="N20" s="30">
        <f t="shared" ca="1" si="11"/>
        <v>2522095.7999999998</v>
      </c>
      <c r="O20" s="30">
        <f t="shared" ca="1" si="9"/>
        <v>93.260012498289797</v>
      </c>
      <c r="P20" s="30">
        <f t="shared" ca="1" si="10"/>
        <v>81.229900228220927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2635370</v>
      </c>
      <c r="M21" s="38">
        <f t="shared" ca="1" si="12"/>
        <v>3035886</v>
      </c>
      <c r="N21" s="38">
        <f t="shared" ca="1" si="12"/>
        <v>2453095.7999999998</v>
      </c>
      <c r="O21" s="38">
        <f t="shared" ca="1" si="9"/>
        <v>93.083544246158965</v>
      </c>
      <c r="P21" s="38">
        <f t="shared" ca="1" si="10"/>
        <v>80.803291032667218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2635370</v>
      </c>
      <c r="M23" s="45">
        <f t="shared" ca="1" si="13"/>
        <v>3035886</v>
      </c>
      <c r="N23" s="45">
        <f t="shared" ca="1" si="13"/>
        <v>2453095.7999999998</v>
      </c>
      <c r="O23" s="45">
        <f t="shared" ca="1" si="9"/>
        <v>93.083544246158965</v>
      </c>
      <c r="P23" s="45">
        <f t="shared" ca="1" si="10"/>
        <v>80.803291032667218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69000</v>
      </c>
      <c r="M24" s="38">
        <f t="shared" ca="1" si="14"/>
        <v>69000</v>
      </c>
      <c r="N24" s="38">
        <f t="shared" ca="1" si="14"/>
        <v>69000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1085711.9700000002</v>
      </c>
      <c r="O28" s="22">
        <f t="shared" ref="O28:O37" ca="1" si="17">IF(L28&gt;0,N28*100/L28,0)</f>
        <v>74.152650875110481</v>
      </c>
      <c r="P28" s="22">
        <f t="shared" ref="P28:P37" ca="1" si="18">IF(M28&gt;0,N28*100/M28,0)</f>
        <v>74.246970863668011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1085711.9700000002</v>
      </c>
      <c r="O30" s="30">
        <f t="shared" ca="1" si="17"/>
        <v>74.152650875110481</v>
      </c>
      <c r="P30" s="30">
        <f t="shared" ca="1" si="18"/>
        <v>74.246970863668011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1464158</v>
      </c>
      <c r="M31" s="38">
        <f t="shared" ca="1" si="20"/>
        <v>1462298</v>
      </c>
      <c r="N31" s="38">
        <f t="shared" si="20"/>
        <v>1085711.9700000002</v>
      </c>
      <c r="O31" s="38">
        <f t="shared" ca="1" si="17"/>
        <v>74.152650875110481</v>
      </c>
      <c r="P31" s="38">
        <f t="shared" ca="1" si="18"/>
        <v>74.246970863668011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1464158</v>
      </c>
      <c r="M33" s="45">
        <f t="shared" ca="1" si="21"/>
        <v>1462298</v>
      </c>
      <c r="N33" s="45">
        <f t="shared" si="21"/>
        <v>1085711.9700000002</v>
      </c>
      <c r="O33" s="45">
        <f t="shared" ca="1" si="17"/>
        <v>74.152650875110481</v>
      </c>
      <c r="P33" s="45">
        <f t="shared" ca="1" si="18"/>
        <v>74.246970863668011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3104886</v>
      </c>
      <c r="N37" s="59">
        <f t="shared" ca="1" si="24"/>
        <v>2522095.7999999998</v>
      </c>
      <c r="O37" s="59">
        <f t="shared" ca="1" si="17"/>
        <v>93.260012498289797</v>
      </c>
      <c r="P37" s="59">
        <f t="shared" ca="1" si="18"/>
        <v>81.229900228220927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512206</v>
      </c>
      <c r="N41" s="85">
        <f t="shared" ca="1" si="25"/>
        <v>430206</v>
      </c>
      <c r="O41" s="85">
        <f t="shared" ref="O41:O49" ca="1" si="26">IF(L41&gt;0,N41*100/L41,0)</f>
        <v>123.26819484240687</v>
      </c>
      <c r="P41" s="85">
        <f t="shared" ref="P41:P49" ca="1" si="27">IF(M41&gt;0,N41*100/M41,0)</f>
        <v>83.99081619504652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512206</v>
      </c>
      <c r="N43" s="92">
        <f t="shared" ca="1" si="28"/>
        <v>430206</v>
      </c>
      <c r="O43" s="92">
        <f t="shared" ca="1" si="26"/>
        <v>123.26819484240687</v>
      </c>
      <c r="P43" s="92">
        <f t="shared" ca="1" si="27"/>
        <v>83.99081619504652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349000</v>
      </c>
      <c r="M44" s="38">
        <f t="shared" ca="1" si="29"/>
        <v>512206</v>
      </c>
      <c r="N44" s="38">
        <f t="shared" ca="1" si="29"/>
        <v>430206</v>
      </c>
      <c r="O44" s="38">
        <f t="shared" ca="1" si="26"/>
        <v>123.26819484240687</v>
      </c>
      <c r="P44" s="38">
        <f t="shared" ca="1" si="27"/>
        <v>83.99081619504652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IFERROR(__xludf.DUMMYFUNCTION("IMPORTRANGE(""https://docs.google.com/spreadsheets/d/1MeEWN-I1oV_STSDYn1IFDPWt_1FKiwhDph83XaGc0o0/edit?usp=sharing"",""งบพรบ!M67"")"),349000)</f>
        <v>349000</v>
      </c>
      <c r="M46" s="45">
        <f ca="1">IFERROR(__xludf.DUMMYFUNCTION("IMPORTRANGE(""https://docs.google.com/spreadsheets/d/1MeEWN-I1oV_STSDYn1IFDPWt_1FKiwhDph83XaGc0o0/edit?usp=sharing"",""งบพรบ!R67"")"),512206)</f>
        <v>512206</v>
      </c>
      <c r="N46" s="45">
        <f ca="1">IFERROR(__xludf.DUMMYFUNCTION("IMPORTRANGE(""https://docs.google.com/spreadsheets/d/1MeEWN-I1oV_STSDYn1IFDPWt_1FKiwhDph83XaGc0o0/edit?usp=sharing"",""งบพรบ!T67"")"),430206)</f>
        <v>430206</v>
      </c>
      <c r="O46" s="45">
        <f t="shared" ca="1" si="26"/>
        <v>123.26819484240687</v>
      </c>
      <c r="P46" s="45">
        <f t="shared" ca="1" si="27"/>
        <v>83.99081619504652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661300</v>
      </c>
      <c r="M53" s="115">
        <f t="shared" ca="1" si="31"/>
        <v>729420</v>
      </c>
      <c r="N53" s="115">
        <f t="shared" ca="1" si="31"/>
        <v>636037.96</v>
      </c>
      <c r="O53" s="115">
        <f t="shared" ref="O53:O61" ca="1" si="32">IF(L53&gt;0,N53*100/L53,0)</f>
        <v>96.179942537426285</v>
      </c>
      <c r="P53" s="115">
        <f t="shared" ref="P53:P61" ca="1" si="33">IF(M53&gt;0,N53*100/M53,0)</f>
        <v>87.197768089715112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661300</v>
      </c>
      <c r="M55" s="122">
        <f t="shared" ca="1" si="34"/>
        <v>729420</v>
      </c>
      <c r="N55" s="122">
        <f t="shared" ca="1" si="34"/>
        <v>636037.96</v>
      </c>
      <c r="O55" s="122">
        <f t="shared" ca="1" si="32"/>
        <v>96.179942537426285</v>
      </c>
      <c r="P55" s="122">
        <f t="shared" ca="1" si="33"/>
        <v>87.197768089715112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607300</v>
      </c>
      <c r="M56" s="38">
        <f t="shared" ca="1" si="35"/>
        <v>675420</v>
      </c>
      <c r="N56" s="38">
        <f t="shared" ca="1" si="35"/>
        <v>582037.96</v>
      </c>
      <c r="O56" s="38">
        <f t="shared" ca="1" si="32"/>
        <v>95.840270047752341</v>
      </c>
      <c r="P56" s="38">
        <f t="shared" ca="1" si="33"/>
        <v>86.174226407272513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IFERROR(__xludf.DUMMYFUNCTION("IMPORTRANGE(""https://docs.google.com/spreadsheets/d/1MeEWN-I1oV_STSDYn1IFDPWt_1FKiwhDph83XaGc0o0/edit?usp=sharing"",""งบพรบ!W67"")"),607300)</f>
        <v>607300</v>
      </c>
      <c r="M58" s="45">
        <f ca="1">IFERROR(__xludf.DUMMYFUNCTION("IMPORTRANGE(""https://docs.google.com/spreadsheets/d/1MeEWN-I1oV_STSDYn1IFDPWt_1FKiwhDph83XaGc0o0/edit?usp=sharing"",""งบพรบ!AB67"")"),675420)</f>
        <v>675420</v>
      </c>
      <c r="N58" s="45">
        <f ca="1">IFERROR(__xludf.DUMMYFUNCTION("IMPORTRANGE(""https://docs.google.com/spreadsheets/d/1MeEWN-I1oV_STSDYn1IFDPWt_1FKiwhDph83XaGc0o0/edit?usp=sharing"",""งบพรบ!AD67"")"),582037.96)</f>
        <v>582037.96</v>
      </c>
      <c r="O58" s="45">
        <f t="shared" ca="1" si="32"/>
        <v>95.840270047752341</v>
      </c>
      <c r="P58" s="45">
        <f t="shared" ca="1" si="33"/>
        <v>86.174226407272513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54000</v>
      </c>
      <c r="M59" s="38">
        <f t="shared" ca="1" si="36"/>
        <v>54000</v>
      </c>
      <c r="N59" s="38">
        <f t="shared" ca="1" si="36"/>
        <v>54000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IFERROR(__xludf.DUMMYFUNCTION("IMPORTRANGE(""https://docs.google.com/spreadsheets/d/1MeEWN-I1oV_STSDYn1IFDPWt_1FKiwhDph83XaGc0o0/edit?usp=sharing"",""งบพรบ!AG67"")"),0)</f>
        <v>0</v>
      </c>
      <c r="M71" s="45">
        <f ca="1">IFERROR(__xludf.DUMMYFUNCTION("IMPORTRANGE(""https://docs.google.com/spreadsheets/d/1MeEWN-I1oV_STSDYn1IFDPWt_1FKiwhDph83XaGc0o0/edit?usp=sharing"",""งบพรบ!AL67"")"),0)</f>
        <v>0</v>
      </c>
      <c r="N71" s="45">
        <f ca="1">IFERROR(__xludf.DUMMYFUNCTION("IMPORTRANGE(""https://docs.google.com/spreadsheets/d/1MeEWN-I1oV_STSDYn1IFDPWt_1FKiwhDph83XaGc0o0/edit?usp=sharing"",""งบพรบ!AN67"")"),0)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IFERROR(__xludf.DUMMYFUNCTION("IMPORTRANGE(""https://docs.google.com/spreadsheets/d/1MeEWN-I1oV_STSDYn1IFDPWt_1FKiwhDph83XaGc0o0/edit?usp=sharing"",""งบพรบ!AJ67"")"),0)</f>
        <v>0</v>
      </c>
      <c r="M74" s="45">
        <f ca="1">IFERROR(__xludf.DUMMYFUNCTION("IMPORTRANGE(""https://docs.google.com/spreadsheets/d/1MeEWN-I1oV_STSDYn1IFDPWt_1FKiwhDph83XaGc0o0/edit?usp=sharing"",""งบพรบ!AM67"")"),0)</f>
        <v>0</v>
      </c>
      <c r="N74" s="45">
        <f ca="1">IFERROR(__xludf.DUMMYFUNCTION("IMPORTRANGE(""https://docs.google.com/spreadsheets/d/1MeEWN-I1oV_STSDYn1IFDPWt_1FKiwhDph83XaGc0o0/edit?usp=sharing"",""งบพรบ!AO67"")"),0)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IFERROR(__xludf.DUMMYFUNCTION("IMPORTRANGE(""https://docs.google.com/spreadsheets/d/1QqKyyYR6Q21VydFLVH3TRQUabQu_ym0Zz7PgGX0-kHA/edit?usp=sharing"",""แผน!J67"")"),0)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128360</v>
      </c>
      <c r="M88" s="154">
        <f t="shared" ca="1" si="49"/>
        <v>128360</v>
      </c>
      <c r="N88" s="154">
        <f t="shared" ca="1" si="49"/>
        <v>106655.9</v>
      </c>
      <c r="O88" s="154">
        <f t="shared" ref="O88:O96" ca="1" si="50">IF(L88&gt;0,N88*100/L88,0)</f>
        <v>83.091227796821443</v>
      </c>
      <c r="P88" s="154">
        <f t="shared" ref="P88:P96" ca="1" si="51">IF(M88&gt;0,N88*100/M88,0)</f>
        <v>83.091227796821443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128360</v>
      </c>
      <c r="M90" s="45">
        <f t="shared" ca="1" si="52"/>
        <v>128360</v>
      </c>
      <c r="N90" s="45">
        <f t="shared" ca="1" si="52"/>
        <v>106655.9</v>
      </c>
      <c r="O90" s="45">
        <f t="shared" ca="1" si="50"/>
        <v>83.091227796821443</v>
      </c>
      <c r="P90" s="45">
        <f t="shared" ca="1" si="51"/>
        <v>83.091227796821443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128360</v>
      </c>
      <c r="M91" s="38">
        <f t="shared" ca="1" si="53"/>
        <v>128360</v>
      </c>
      <c r="N91" s="38">
        <f t="shared" ca="1" si="53"/>
        <v>106655.9</v>
      </c>
      <c r="O91" s="38">
        <f t="shared" ca="1" si="50"/>
        <v>83.091227796821443</v>
      </c>
      <c r="P91" s="38">
        <f t="shared" ca="1" si="51"/>
        <v>83.091227796821443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IFERROR(__xludf.DUMMYFUNCTION("IMPORTRANGE(""https://docs.google.com/spreadsheets/d/1MeEWN-I1oV_STSDYn1IFDPWt_1FKiwhDph83XaGc0o0/edit?usp=sharing"",""งบพรบ!AQ67"")"),128360)</f>
        <v>128360</v>
      </c>
      <c r="M93" s="45">
        <f ca="1">IFERROR(__xludf.DUMMYFUNCTION("IMPORTRANGE(""https://docs.google.com/spreadsheets/d/1MeEWN-I1oV_STSDYn1IFDPWt_1FKiwhDph83XaGc0o0/edit?usp=sharing"",""งบพรบ!AV67"")"),128360)</f>
        <v>128360</v>
      </c>
      <c r="N93" s="45">
        <f ca="1">IFERROR(__xludf.DUMMYFUNCTION("IMPORTRANGE(""https://docs.google.com/spreadsheets/d/1MeEWN-I1oV_STSDYn1IFDPWt_1FKiwhDph83XaGc0o0/edit?usp=sharing"",""งบพรบ!AX67"")"),106655.9)</f>
        <v>106655.9</v>
      </c>
      <c r="O93" s="45">
        <f t="shared" ca="1" si="50"/>
        <v>83.091227796821443</v>
      </c>
      <c r="P93" s="45">
        <f t="shared" ca="1" si="51"/>
        <v>83.091227796821443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IFERROR(__xludf.DUMMYFUNCTION("IMPORTRANGE(""https://docs.google.com/spreadsheets/d/1MeEWN-I1oV_STSDYn1IFDPWt_1FKiwhDph83XaGc0o0/edit?usp=sharing"",""งบพรบ!AT67"")"),0)</f>
        <v>0</v>
      </c>
      <c r="M96" s="45">
        <f ca="1">IFERROR(__xludf.DUMMYFUNCTION("IMPORTRANGE(""https://docs.google.com/spreadsheets/d/1MeEWN-I1oV_STSDYn1IFDPWt_1FKiwhDph83XaGc0o0/edit?usp=sharing"",""งบพรบ!AW67"")"),0)</f>
        <v>0</v>
      </c>
      <c r="N96" s="45">
        <f ca="1">IFERROR(__xludf.DUMMYFUNCTION("IMPORTRANGE(""https://docs.google.com/spreadsheets/d/1MeEWN-I1oV_STSDYn1IFDPWt_1FKiwhDph83XaGc0o0/edit?usp=sharing"",""งบพรบ!AY67"")"),0)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IFERROR(__xludf.DUMMYFUNCTION("IMPORTRANGE(""https://docs.google.com/spreadsheets/d/1QqKyyYR6Q21VydFLVH3TRQUabQu_ym0Zz7PgGX0-kHA/edit?usp=sharing"",""แผน!K67"")"),45)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IFERROR(__xludf.DUMMYFUNCTION("IMPORTRANGE(""https://docs.google.com/spreadsheets/d/1QqKyyYR6Q21VydFLVH3TRQUabQu_ym0Zz7PgGX0-kHA/edit?usp=sharing"",""แผน!L67"")"),15)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IFERROR(__xludf.DUMMYFUNCTION("IMPORTRANGE(""https://docs.google.com/spreadsheets/d/1QqKyyYR6Q21VydFLVH3TRQUabQu_ym0Zz7PgGX0-kHA/edit?usp=sharing"",""แผน!M67"")"),3)</f>
        <v>3</v>
      </c>
      <c r="J100" s="37">
        <f>J107+J110</f>
        <v>3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IFERROR(__xludf.DUMMYFUNCTION("IMPORTRANGE(""https://docs.google.com/spreadsheets/d/1QqKyyYR6Q21VydFLVH3TRQUabQu_ym0Zz7PgGX0-kHA/edit?usp=sharing"",""แผน!N67"")"),45)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IFERROR(__xludf.DUMMYFUNCTION("IMPORTRANGE(""https://docs.google.com/spreadsheets/d/1QqKyyYR6Q21VydFLVH3TRQUabQu_ym0Zz7PgGX0-kHA/edit?usp=sharing"",""แผน!O67"")"),15)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IFERROR(__xludf.DUMMYFUNCTION("IMPORTRANGE(""https://docs.google.com/spreadsheets/d/1QqKyyYR6Q21VydFLVH3TRQUabQu_ym0Zz7PgGX0-kHA/edit?usp=sharing"",""แผน!O67"")"),15)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IFERROR(__xludf.DUMMYFUNCTION("IMPORTRANGE(""https://docs.google.com/spreadsheets/d/1QqKyyYR6Q21VydFLVH3TRQUabQu_ym0Zz7PgGX0-kHA/edit?usp=sharing"",""แผน!P67"")"),2)</f>
        <v>2</v>
      </c>
      <c r="J106" s="181">
        <v>2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IFERROR(__xludf.DUMMYFUNCTION("IMPORTRANGE(""https://docs.google.com/spreadsheets/d/1QqKyyYR6Q21VydFLVH3TRQUabQu_ym0Zz7PgGX0-kHA/edit?usp=sharing"",""แผน!P67"")"),2)</f>
        <v>2</v>
      </c>
      <c r="J107" s="181">
        <v>2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IFERROR(__xludf.DUMMYFUNCTION("IMPORTRANGE(""https://docs.google.com/spreadsheets/d/1QqKyyYR6Q21VydFLVH3TRQUabQu_ym0Zz7PgGX0-kHA/edit?usp=sharing"",""แผน!Q67"")"),1)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IFERROR(__xludf.DUMMYFUNCTION("IMPORTRANGE(""https://docs.google.com/spreadsheets/d/1QqKyyYR6Q21VydFLVH3TRQUabQu_ym0Zz7PgGX0-kHA/edit?usp=sharing"",""แผน!Q67"")"),1)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IFERROR(__xludf.DUMMYFUNCTION("IMPORTRANGE(""https://docs.google.com/spreadsheets/d/1QqKyyYR6Q21VydFLVH3TRQUabQu_ym0Zz7PgGX0-kHA/edit?usp=sharing"",""แผน!R67"")"),15)</f>
        <v>15</v>
      </c>
      <c r="J111" s="190">
        <f>J114</f>
        <v>15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3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IFERROR(__xludf.DUMMYFUNCTION("IMPORTRANGE(""https://docs.google.com/spreadsheets/d/1QqKyyYR6Q21VydFLVH3TRQUabQu_ym0Zz7PgGX0-kHA/edit?usp=sharing"",""แผน!R67"")"),15)</f>
        <v>15</v>
      </c>
      <c r="J113" s="181">
        <v>15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IFERROR(__xludf.DUMMYFUNCTION("IMPORTRANGE(""https://docs.google.com/spreadsheets/d/1QqKyyYR6Q21VydFLVH3TRQUabQu_ym0Zz7PgGX0-kHA/edit?usp=sharing"",""แผน!R67"")"),15)</f>
        <v>15</v>
      </c>
      <c r="J114" s="181">
        <v>15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IFERROR(__xludf.DUMMYFUNCTION("IMPORTRANGE(""https://docs.google.com/spreadsheets/d/1QqKyyYR6Q21VydFLVH3TRQUabQu_ym0Zz7PgGX0-kHA/edit?usp=sharing"",""แผน!S67"")"),2)</f>
        <v>2</v>
      </c>
      <c r="J115" s="181">
        <v>2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IFERROR(__xludf.DUMMYFUNCTION("IMPORTRANGE(""https://docs.google.com/spreadsheets/d/1QqKyyYR6Q21VydFLVH3TRQUabQu_ym0Zz7PgGX0-kHA/edit?usp=sharing"",""แผน!T67"")"),1)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IFERROR(__xludf.DUMMYFUNCTION("IMPORTRANGE(""https://docs.google.com/spreadsheets/d/1MeEWN-I1oV_STSDYn1IFDPWt_1FKiwhDph83XaGc0o0/edit?usp=sharing"",""งบพรบ!BA67"")"),0)</f>
        <v>0</v>
      </c>
      <c r="M124" s="45">
        <f ca="1">IFERROR(__xludf.DUMMYFUNCTION("IMPORTRANGE(""https://docs.google.com/spreadsheets/d/1MeEWN-I1oV_STSDYn1IFDPWt_1FKiwhDph83XaGc0o0/edit?usp=sharing"",""งบพรบ!BF67"")"),0)</f>
        <v>0</v>
      </c>
      <c r="N124" s="45">
        <f ca="1">IFERROR(__xludf.DUMMYFUNCTION("IMPORTRANGE(""https://docs.google.com/spreadsheets/d/1MeEWN-I1oV_STSDYn1IFDPWt_1FKiwhDph83XaGc0o0/edit?usp=sharing"",""งบพรบ!BH67"")"),0)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IFERROR(__xludf.DUMMYFUNCTION("IMPORTRANGE(""https://docs.google.com/spreadsheets/d/1MeEWN-I1oV_STSDYn1IFDPWt_1FKiwhDph83XaGc0o0/edit?usp=sharing"",""งบพรบ!BD67"")"),0)</f>
        <v>0</v>
      </c>
      <c r="M127" s="45">
        <f ca="1">IFERROR(__xludf.DUMMYFUNCTION("IMPORTRANGE(""https://docs.google.com/spreadsheets/d/1MeEWN-I1oV_STSDYn1IFDPWt_1FKiwhDph83XaGc0o0/edit?usp=sharing"",""งบพรบ!BG67"")"),0)</f>
        <v>0</v>
      </c>
      <c r="N127" s="45">
        <f ca="1">IFERROR(__xludf.DUMMYFUNCTION("IMPORTRANGE(""https://docs.google.com/spreadsheets/d/1MeEWN-I1oV_STSDYn1IFDPWt_1FKiwhDph83XaGc0o0/edit?usp=sharing"",""งบพรบ!BI67"")"),0)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IFERROR(__xludf.DUMMYFUNCTION("IMPORTRANGE(""https://docs.google.com/spreadsheets/d/1MeEWN-I1oV_STSDYn1IFDPWt_1FKiwhDph83XaGc0o0/edit?usp=sharing"",""งบพรบ!BK67"")"),0)</f>
        <v>0</v>
      </c>
      <c r="M137" s="45">
        <f ca="1">IFERROR(__xludf.DUMMYFUNCTION("IMPORTRANGE(""https://docs.google.com/spreadsheets/d/1MeEWN-I1oV_STSDYn1IFDPWt_1FKiwhDph83XaGc0o0/edit?usp=sharing"",""งบพรบ!BP67"")"),0)</f>
        <v>0</v>
      </c>
      <c r="N137" s="45">
        <f ca="1">IFERROR(__xludf.DUMMYFUNCTION("IMPORTRANGE(""https://docs.google.com/spreadsheets/d/1MeEWN-I1oV_STSDYn1IFDPWt_1FKiwhDph83XaGc0o0/edit?usp=sharing"",""งบพรบ!BR67"")"),0)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IFERROR(__xludf.DUMMYFUNCTION("IMPORTRANGE(""https://docs.google.com/spreadsheets/d/1MeEWN-I1oV_STSDYn1IFDPWt_1FKiwhDph83XaGc0o0/edit?usp=sharing"",""งบพรบ!BN67"")"),0)</f>
        <v>0</v>
      </c>
      <c r="M140" s="45">
        <f ca="1">IFERROR(__xludf.DUMMYFUNCTION("IMPORTRANGE(""https://docs.google.com/spreadsheets/d/1MeEWN-I1oV_STSDYn1IFDPWt_1FKiwhDph83XaGc0o0/edit?usp=sharing"",""งบพรบ!BQ67"")"),0)</f>
        <v>0</v>
      </c>
      <c r="N140" s="45">
        <f ca="1">IFERROR(__xludf.DUMMYFUNCTION("IMPORTRANGE(""https://docs.google.com/spreadsheets/d/1MeEWN-I1oV_STSDYn1IFDPWt_1FKiwhDph83XaGc0o0/edit?usp=sharing"",""งบพรบ!BS67"")"),0)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15</v>
      </c>
      <c r="J148" s="143">
        <f t="shared" si="76"/>
        <v>4</v>
      </c>
      <c r="K148" s="144">
        <f ca="1">IF(I148&gt;0,J148*100/I148,0)</f>
        <v>26.666666666666668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7500</v>
      </c>
      <c r="M149" s="154">
        <f t="shared" ca="1" si="77"/>
        <v>7500</v>
      </c>
      <c r="N149" s="154">
        <f t="shared" ca="1" si="77"/>
        <v>2580</v>
      </c>
      <c r="O149" s="154">
        <f t="shared" ref="O149:O157" ca="1" si="78">IF(L149&gt;0,N149*100/L149,0)</f>
        <v>34.4</v>
      </c>
      <c r="P149" s="154">
        <f t="shared" ref="P149:P157" ca="1" si="79">IF(M149&gt;0,N149*100/M149,0)</f>
        <v>34.4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7500</v>
      </c>
      <c r="M151" s="45">
        <f t="shared" ca="1" si="80"/>
        <v>7500</v>
      </c>
      <c r="N151" s="45">
        <f t="shared" ca="1" si="80"/>
        <v>2580</v>
      </c>
      <c r="O151" s="45">
        <f t="shared" ca="1" si="78"/>
        <v>34.4</v>
      </c>
      <c r="P151" s="45">
        <f t="shared" ca="1" si="79"/>
        <v>34.4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7500</v>
      </c>
      <c r="M152" s="38">
        <f t="shared" ca="1" si="81"/>
        <v>7500</v>
      </c>
      <c r="N152" s="38">
        <f t="shared" ca="1" si="81"/>
        <v>2580</v>
      </c>
      <c r="O152" s="38">
        <f t="shared" ca="1" si="78"/>
        <v>34.4</v>
      </c>
      <c r="P152" s="38">
        <f t="shared" ca="1" si="79"/>
        <v>34.4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IFERROR(__xludf.DUMMYFUNCTION("IMPORTRANGE(""https://docs.google.com/spreadsheets/d/1MeEWN-I1oV_STSDYn1IFDPWt_1FKiwhDph83XaGc0o0/edit?usp=sharing"",""งบพรบ!BU67"")"),7500)</f>
        <v>7500</v>
      </c>
      <c r="M154" s="45">
        <f ca="1">IFERROR(__xludf.DUMMYFUNCTION("IMPORTRANGE(""https://docs.google.com/spreadsheets/d/1MeEWN-I1oV_STSDYn1IFDPWt_1FKiwhDph83XaGc0o0/edit?usp=sharing"",""งบพรบ!BZ67"")"),7500)</f>
        <v>7500</v>
      </c>
      <c r="N154" s="45">
        <f ca="1">IFERROR(__xludf.DUMMYFUNCTION("IMPORTRANGE(""https://docs.google.com/spreadsheets/d/1MeEWN-I1oV_STSDYn1IFDPWt_1FKiwhDph83XaGc0o0/edit?usp=sharing"",""งบพรบ!CB67"")"),2580)</f>
        <v>2580</v>
      </c>
      <c r="O154" s="45">
        <f t="shared" ca="1" si="78"/>
        <v>34.4</v>
      </c>
      <c r="P154" s="45">
        <f t="shared" ca="1" si="79"/>
        <v>34.4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IFERROR(__xludf.DUMMYFUNCTION("IMPORTRANGE(""https://docs.google.com/spreadsheets/d/1MeEWN-I1oV_STSDYn1IFDPWt_1FKiwhDph83XaGc0o0/edit?usp=sharing"",""งบพรบ!BX67"")"),0)</f>
        <v>0</v>
      </c>
      <c r="M157" s="45">
        <f ca="1">IFERROR(__xludf.DUMMYFUNCTION("IMPORTRANGE(""https://docs.google.com/spreadsheets/d/1MeEWN-I1oV_STSDYn1IFDPWt_1FKiwhDph83XaGc0o0/edit?usp=sharing"",""งบพรบ!CA67"")"),0)</f>
        <v>0</v>
      </c>
      <c r="N157" s="45">
        <f ca="1">IFERROR(__xludf.DUMMYFUNCTION("IMPORTRANGE(""https://docs.google.com/spreadsheets/d/1MeEWN-I1oV_STSDYn1IFDPWt_1FKiwhDph83XaGc0o0/edit?usp=sharing"",""งบพรบ!CC67"")"),0)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IFERROR(__xludf.DUMMYFUNCTION("IMPORTRANGE(""https://docs.google.com/spreadsheets/d/1QqKyyYR6Q21VydFLVH3TRQUabQu_ym0Zz7PgGX0-kHA/edit?usp=sharing"",""แผน!X67"")"),15)</f>
        <v>15</v>
      </c>
      <c r="J159" s="181">
        <v>4</v>
      </c>
      <c r="K159" s="38">
        <f ca="1">IF(I159&gt;0,J159*100/I159,0)</f>
        <v>26.666666666666668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31040</v>
      </c>
      <c r="N165" s="154">
        <f t="shared" ca="1" si="84"/>
        <v>31000</v>
      </c>
      <c r="O165" s="154">
        <f t="shared" ref="O165:O173" ca="1" si="85">IF(L165&gt;0,N165*100/L165,0)</f>
        <v>147.26840855106889</v>
      </c>
      <c r="P165" s="154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31040</v>
      </c>
      <c r="N167" s="45">
        <f t="shared" ca="1" si="87"/>
        <v>31000</v>
      </c>
      <c r="O167" s="45">
        <f t="shared" ca="1" si="85"/>
        <v>147.26840855106889</v>
      </c>
      <c r="P167" s="45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31040</v>
      </c>
      <c r="N168" s="38">
        <f t="shared" ca="1" si="88"/>
        <v>31000</v>
      </c>
      <c r="O168" s="38">
        <f t="shared" ca="1" si="85"/>
        <v>147.26840855106889</v>
      </c>
      <c r="P168" s="38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IFERROR(__xludf.DUMMYFUNCTION("IMPORTRANGE(""https://docs.google.com/spreadsheets/d/1MeEWN-I1oV_STSDYn1IFDPWt_1FKiwhDph83XaGc0o0/edit?usp=sharing"",""งบพรบ!CE67"")"),21050)</f>
        <v>21050</v>
      </c>
      <c r="M170" s="45">
        <f ca="1">IFERROR(__xludf.DUMMYFUNCTION("IMPORTRANGE(""https://docs.google.com/spreadsheets/d/1MeEWN-I1oV_STSDYn1IFDPWt_1FKiwhDph83XaGc0o0/edit?usp=sharing"",""งบพรบ!CJ67"")"),31040)</f>
        <v>31040</v>
      </c>
      <c r="N170" s="45">
        <f ca="1">IFERROR(__xludf.DUMMYFUNCTION("IMPORTRANGE(""https://docs.google.com/spreadsheets/d/1MeEWN-I1oV_STSDYn1IFDPWt_1FKiwhDph83XaGc0o0/edit?usp=sharing"",""งบพรบ!CL67"")"),31000)</f>
        <v>31000</v>
      </c>
      <c r="O170" s="45">
        <f t="shared" ca="1" si="85"/>
        <v>147.26840855106889</v>
      </c>
      <c r="P170" s="45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IFERROR(__xludf.DUMMYFUNCTION("IMPORTRANGE(""https://docs.google.com/spreadsheets/d/1MeEWN-I1oV_STSDYn1IFDPWt_1FKiwhDph83XaGc0o0/edit?usp=sharing"",""งบพรบ!CH67"")"),0)</f>
        <v>0</v>
      </c>
      <c r="M173" s="45">
        <f ca="1">IFERROR(__xludf.DUMMYFUNCTION("IMPORTRANGE(""https://docs.google.com/spreadsheets/d/1MeEWN-I1oV_STSDYn1IFDPWt_1FKiwhDph83XaGc0o0/edit?usp=sharing"",""งบพรบ!CK67"")"),0)</f>
        <v>0</v>
      </c>
      <c r="N173" s="45">
        <f ca="1">IFERROR(__xludf.DUMMYFUNCTION("IMPORTRANGE(""https://docs.google.com/spreadsheets/d/1MeEWN-I1oV_STSDYn1IFDPWt_1FKiwhDph83XaGc0o0/edit?usp=sharing"",""งบพรบ!CM67"")"),0)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IFERROR(__xludf.DUMMYFUNCTION("IMPORTRANGE(""https://docs.google.com/spreadsheets/d/1QqKyyYR6Q21VydFLVH3TRQUabQu_ym0Zz7PgGX0-kHA/edit?usp=sharing"",""แผน!Y67"")"),10)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53000</v>
      </c>
      <c r="M181" s="154">
        <f t="shared" ca="1" si="92"/>
        <v>53000</v>
      </c>
      <c r="N181" s="154">
        <f t="shared" ca="1" si="92"/>
        <v>45665</v>
      </c>
      <c r="O181" s="154">
        <f t="shared" ref="O181:O189" ca="1" si="93">IF(L181&gt;0,N181*100/L181,0)</f>
        <v>86.160377358490564</v>
      </c>
      <c r="P181" s="154">
        <f t="shared" ref="P181:P189" ca="1" si="94">IF(M181&gt;0,N181*100/M181,0)</f>
        <v>86.160377358490564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53000</v>
      </c>
      <c r="M183" s="45">
        <f t="shared" ca="1" si="95"/>
        <v>53000</v>
      </c>
      <c r="N183" s="45">
        <f t="shared" ca="1" si="95"/>
        <v>45665</v>
      </c>
      <c r="O183" s="45">
        <f t="shared" ca="1" si="93"/>
        <v>86.160377358490564</v>
      </c>
      <c r="P183" s="45">
        <f t="shared" ca="1" si="94"/>
        <v>86.160377358490564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53000</v>
      </c>
      <c r="M184" s="38">
        <f t="shared" ca="1" si="96"/>
        <v>53000</v>
      </c>
      <c r="N184" s="38">
        <f t="shared" ca="1" si="96"/>
        <v>45665</v>
      </c>
      <c r="O184" s="38">
        <f t="shared" ca="1" si="93"/>
        <v>86.160377358490564</v>
      </c>
      <c r="P184" s="38">
        <f t="shared" ca="1" si="94"/>
        <v>86.160377358490564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IFERROR(__xludf.DUMMYFUNCTION("IMPORTRANGE(""https://docs.google.com/spreadsheets/d/1MeEWN-I1oV_STSDYn1IFDPWt_1FKiwhDph83XaGc0o0/edit?usp=sharing"",""งบพรบ!CO67"")"),53000)</f>
        <v>53000</v>
      </c>
      <c r="M186" s="45">
        <f ca="1">IFERROR(__xludf.DUMMYFUNCTION("IMPORTRANGE(""https://docs.google.com/spreadsheets/d/1MeEWN-I1oV_STSDYn1IFDPWt_1FKiwhDph83XaGc0o0/edit?usp=sharing"",""งบพรบ!CT67"")"),53000)</f>
        <v>53000</v>
      </c>
      <c r="N186" s="45">
        <f ca="1">IFERROR(__xludf.DUMMYFUNCTION("IMPORTRANGE(""https://docs.google.com/spreadsheets/d/1MeEWN-I1oV_STSDYn1IFDPWt_1FKiwhDph83XaGc0o0/edit?usp=sharing"",""งบพรบ!CV67"")"),45665)</f>
        <v>45665</v>
      </c>
      <c r="O186" s="45">
        <f t="shared" ca="1" si="93"/>
        <v>86.160377358490564</v>
      </c>
      <c r="P186" s="45">
        <f t="shared" ca="1" si="94"/>
        <v>86.160377358490564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IFERROR(__xludf.DUMMYFUNCTION("IMPORTRANGE(""https://docs.google.com/spreadsheets/d/1MeEWN-I1oV_STSDYn1IFDPWt_1FKiwhDph83XaGc0o0/edit?usp=sharing"",""งบพรบ!CR67"")"),0)</f>
        <v>0</v>
      </c>
      <c r="M189" s="45">
        <f ca="1">IFERROR(__xludf.DUMMYFUNCTION("IMPORTRANGE(""https://docs.google.com/spreadsheets/d/1MeEWN-I1oV_STSDYn1IFDPWt_1FKiwhDph83XaGc0o0/edit?usp=sharing"",""งบพรบ!CU67"")"),0)</f>
        <v>0</v>
      </c>
      <c r="N189" s="45">
        <f ca="1">IFERROR(__xludf.DUMMYFUNCTION("IMPORTRANGE(""https://docs.google.com/spreadsheets/d/1MeEWN-I1oV_STSDYn1IFDPWt_1FKiwhDph83XaGc0o0/edit?usp=sharing"",""งบพรบ!CW67"")"),0)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IFERROR(__xludf.DUMMYFUNCTION("IMPORTRANGE(""https://docs.google.com/spreadsheets/d/1QqKyyYR6Q21VydFLVH3TRQUabQu_ym0Zz7PgGX0-kHA/edit?usp=sharing"",""แผน!Z67"")"),6000)</f>
        <v>6000</v>
      </c>
      <c r="M191" s="154"/>
      <c r="N191" s="264">
        <v>2910</v>
      </c>
      <c r="O191" s="154">
        <f ca="1">IF(L191&gt;0,N191*100/L191,0)</f>
        <v>48.5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IFERROR(__xludf.DUMMYFUNCTION("IMPORTRANGE(""https://docs.google.com/spreadsheets/d/1QqKyyYR6Q21VydFLVH3TRQUabQu_ym0Zz7PgGX0-kHA/edit?usp=sharing"",""แผน!AC67"")"),4)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331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331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37575</v>
      </c>
      <c r="O198" s="154">
        <f ca="1">IF(L198&gt;0,N198*100/L198,0)</f>
        <v>96.34615384615384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IFERROR(__xludf.DUMMYFUNCTION("IMPORTRANGE(""https://docs.google.com/spreadsheets/d/1QqKyyYR6Q21VydFLVH3TRQUabQu_ym0Zz7PgGX0-kHA/edit?usp=sharing"",""แผน!AE67"")"),3000)</f>
        <v>3000</v>
      </c>
      <c r="M199" s="38"/>
      <c r="N199" s="271">
        <v>1575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IFERROR(__xludf.DUMMYFUNCTION("IMPORTRANGE(""https://docs.google.com/spreadsheets/d/1QqKyyYR6Q21VydFLVH3TRQUabQu_ym0Zz7PgGX0-kHA/edit?usp=sharing"",""แผน!AF67"")"),24000)</f>
        <v>24000</v>
      </c>
      <c r="M200" s="38"/>
      <c r="N200" s="271">
        <v>24000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IFERROR(__xludf.DUMMYFUNCTION("IMPORTRANGE(""https://docs.google.com/spreadsheets/d/1QqKyyYR6Q21VydFLVH3TRQUabQu_ym0Zz7PgGX0-kHA/edit?usp=sharing"",""แผน!AG67"")"),12000)</f>
        <v>12000</v>
      </c>
      <c r="M201" s="38"/>
      <c r="N201" s="271">
        <v>12000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IFERROR(__xludf.DUMMYFUNCTION("IMPORTRANGE(""https://docs.google.com/spreadsheets/d/1QqKyyYR6Q21VydFLVH3TRQUabQu_ym0Zz7PgGX0-kHA/edit?usp=sharing"",""แผน!AH67"")"),0)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IFERROR(__xludf.DUMMYFUNCTION("IMPORTRANGE(""https://docs.google.com/spreadsheets/d/1QqKyyYR6Q21VydFLVH3TRQUabQu_ym0Zz7PgGX0-kHA/edit?usp=sharing"",""แผน!AI67"")"),3)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IFERROR(__xludf.DUMMYFUNCTION("IMPORTRANGE(""https://docs.google.com/spreadsheets/d/1QqKyyYR6Q21VydFLVH3TRQUabQu_ym0Zz7PgGX0-kHA/edit?usp=sharing"",""แผน!AK67"")"),0)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IFERROR(__xludf.DUMMYFUNCTION("IMPORTRANGE(""https://docs.google.com/spreadsheets/d/1QqKyyYR6Q21VydFLVH3TRQUabQu_ym0Zz7PgGX0-kHA/edit?usp=sharing"",""แผน!AL67"")"),0)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IFERROR(__xludf.DUMMYFUNCTION("IMPORTRANGE(""https://docs.google.com/spreadsheets/d/1QqKyyYR6Q21VydFLVH3TRQUabQu_ym0Zz7PgGX0-kHA/edit?usp=sharing"",""แผน!AM67"")"),0)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IFERROR(__xludf.DUMMYFUNCTION("IMPORTRANGE(""https://docs.google.com/spreadsheets/d/1QqKyyYR6Q21VydFLVH3TRQUabQu_ym0Zz7PgGX0-kHA/edit?usp=sharing"",""แผน!AN67"")"),0)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IFERROR(__xludf.DUMMYFUNCTION("IMPORTRANGE(""https://docs.google.com/spreadsheets/d/1QqKyyYR6Q21VydFLVH3TRQUabQu_ym0Zz7PgGX0-kHA/edit?usp=sharing"",""แผน!AN67"")"),0)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20000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5180</v>
      </c>
      <c r="O217" s="154">
        <f ca="1">IF(L217&gt;0,N217*100/L217,0)</f>
        <v>64.75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IFERROR(__xludf.DUMMYFUNCTION("IMPORTRANGE(""https://docs.google.com/spreadsheets/d/1QqKyyYR6Q21VydFLVH3TRQUabQu_ym0Zz7PgGX0-kHA/edit?usp=sharing"",""แผน!AP67"")"),3000)</f>
        <v>3000</v>
      </c>
      <c r="M218" s="38"/>
      <c r="N218" s="271">
        <v>280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IFERROR(__xludf.DUMMYFUNCTION("IMPORTRANGE(""https://docs.google.com/spreadsheets/d/1QqKyyYR6Q21VydFLVH3TRQUabQu_ym0Zz7PgGX0-kHA/edit?usp=sharing"",""แผน!AQ67"")"),5000)</f>
        <v>5000</v>
      </c>
      <c r="M219" s="38"/>
      <c r="N219" s="271">
        <v>4900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IFERROR(__xludf.DUMMYFUNCTION("IMPORTRANGE(""https://docs.google.com/spreadsheets/d/1QqKyyYR6Q21VydFLVH3TRQUabQu_ym0Zz7PgGX0-kHA/edit?usp=sharing"",""แผน!AR67"")"),0)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IFERROR(__xludf.DUMMYFUNCTION("IMPORTRANGE(""https://docs.google.com/spreadsheets/d/1QqKyyYR6Q21VydFLVH3TRQUabQu_ym0Zz7PgGX0-kHA/edit?usp=sharing"",""แผน!AT67"")"),20000)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IFERROR(__xludf.DUMMYFUNCTION("IMPORTRANGE(""https://docs.google.com/spreadsheets/d/1QqKyyYR6Q21VydFLVH3TRQUabQu_ym0Zz7PgGX0-kHA/edit?usp=sharing"",""แผน!AT67"")"),20000)</f>
        <v>20000</v>
      </c>
      <c r="J224" s="181">
        <v>20000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IFERROR(__xludf.DUMMYFUNCTION("IMPORTRANGE(""https://docs.google.com/spreadsheets/d/1QqKyyYR6Q21VydFLVH3TRQUabQu_ym0Zz7PgGX0-kHA/edit?usp=sharing"",""แผน!AS67"")"),0)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IFERROR(__xludf.DUMMYFUNCTION("IMPORTRANGE(""https://docs.google.com/spreadsheets/d/1QqKyyYR6Q21VydFLVH3TRQUabQu_ym0Zz7PgGX0-kHA/edit?usp=sharing"",""แผน!AV67"")"),0)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IFERROR(__xludf.DUMMYFUNCTION("IMPORTRANGE(""https://docs.google.com/spreadsheets/d/1QqKyyYR6Q21VydFLVH3TRQUabQu_ym0Zz7PgGX0-kHA/edit?usp=sharing"",""แผน!AW67"")"),0)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IFERROR(__xludf.DUMMYFUNCTION("IMPORTRANGE(""https://docs.google.com/spreadsheets/d/1QqKyyYR6Q21VydFLVH3TRQUabQu_ym0Zz7PgGX0-kHA/edit?usp=sharing"",""แผน!AX67"")"),0)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IFERROR(__xludf.DUMMYFUNCTION("IMPORTRANGE(""https://docs.google.com/spreadsheets/d/1QqKyyYR6Q21VydFLVH3TRQUabQu_ym0Zz7PgGX0-kHA/edit?usp=sharing"",""แผน!AY67"")"),0)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IFERROR(__xludf.DUMMYFUNCTION("IMPORTRANGE(""https://docs.google.com/spreadsheets/d/1QqKyyYR6Q21VydFLVH3TRQUabQu_ym0Zz7PgGX0-kHA/edit?usp=sharing"",""แผน!AZ67"")"),0)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IFERROR(__xludf.DUMMYFUNCTION("IMPORTRANGE(""https://docs.google.com/spreadsheets/d/1QqKyyYR6Q21VydFLVH3TRQUabQu_ym0Zz7PgGX0-kHA/edit?usp=sharing"",""แผน!BA67"")"),0)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IFERROR(__xludf.DUMMYFUNCTION("IMPORTRANGE(""https://docs.google.com/spreadsheets/d/1QqKyyYR6Q21VydFLVH3TRQUabQu_ym0Zz7PgGX0-kHA/edit?usp=sharing"",""แผน!BB67"")"),0)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IFERROR(__xludf.DUMMYFUNCTION("IMPORTRANGE(""https://docs.google.com/spreadsheets/d/1QqKyyYR6Q21VydFLVH3TRQUabQu_ym0Zz7PgGX0-kHA/edit?usp=sharing"",""แผน!BC67"")"),0)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16569</v>
      </c>
      <c r="O261" s="154">
        <f t="shared" ref="O261:O269" ca="1" si="117">IF(L261&gt;0,N261*100/L261,0)</f>
        <v>61.594795539033456</v>
      </c>
      <c r="P261" s="154">
        <f t="shared" ref="P261:P269" ca="1" si="118">IF(M261&gt;0,N261*100/M261,0)</f>
        <v>61.594795539033456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16569</v>
      </c>
      <c r="O263" s="45">
        <f t="shared" ca="1" si="117"/>
        <v>61.594795539033456</v>
      </c>
      <c r="P263" s="45">
        <f t="shared" ca="1" si="118"/>
        <v>61.594795539033456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16569</v>
      </c>
      <c r="O264" s="38">
        <f t="shared" ca="1" si="117"/>
        <v>61.594795539033456</v>
      </c>
      <c r="P264" s="38">
        <f t="shared" ca="1" si="118"/>
        <v>61.594795539033456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IFERROR(__xludf.DUMMYFUNCTION("IMPORTRANGE(""https://docs.google.com/spreadsheets/d/1MeEWN-I1oV_STSDYn1IFDPWt_1FKiwhDph83XaGc0o0/edit?usp=sharing"",""งบพรบ!CY67"")"),26900)</f>
        <v>26900</v>
      </c>
      <c r="M266" s="45">
        <f ca="1">IFERROR(__xludf.DUMMYFUNCTION("IMPORTRANGE(""https://docs.google.com/spreadsheets/d/1MeEWN-I1oV_STSDYn1IFDPWt_1FKiwhDph83XaGc0o0/edit?usp=sharing"",""งบพรบ!DD67"")"),26900)</f>
        <v>26900</v>
      </c>
      <c r="N266" s="45">
        <f ca="1">IFERROR(__xludf.DUMMYFUNCTION("IMPORTRANGE(""https://docs.google.com/spreadsheets/d/1MeEWN-I1oV_STSDYn1IFDPWt_1FKiwhDph83XaGc0o0/edit?usp=sharing"",""งบพรบ!DF67"")"),16569)</f>
        <v>16569</v>
      </c>
      <c r="O266" s="45">
        <f t="shared" ca="1" si="117"/>
        <v>61.594795539033456</v>
      </c>
      <c r="P266" s="45">
        <f t="shared" ca="1" si="118"/>
        <v>61.594795539033456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IFERROR(__xludf.DUMMYFUNCTION("IMPORTRANGE(""https://docs.google.com/spreadsheets/d/1MeEWN-I1oV_STSDYn1IFDPWt_1FKiwhDph83XaGc0o0/edit?usp=sharing"",""งบพรบ!DB67"")"),0)</f>
        <v>0</v>
      </c>
      <c r="M269" s="45">
        <f ca="1">IFERROR(__xludf.DUMMYFUNCTION("IMPORTRANGE(""https://docs.google.com/spreadsheets/d/1MeEWN-I1oV_STSDYn1IFDPWt_1FKiwhDph83XaGc0o0/edit?usp=sharing"",""งบพรบ!DE67"")"),0)</f>
        <v>0</v>
      </c>
      <c r="N269" s="45">
        <f ca="1">IFERROR(__xludf.DUMMYFUNCTION("IMPORTRANGE(""https://docs.google.com/spreadsheets/d/1MeEWN-I1oV_STSDYn1IFDPWt_1FKiwhDph83XaGc0o0/edit?usp=sharing"",""งบพรบ!DG67"")"),0)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IFERROR(__xludf.DUMMYFUNCTION("IMPORTRANGE(""https://docs.google.com/spreadsheets/d/1QqKyyYR6Q21VydFLVH3TRQUabQu_ym0Zz7PgGX0-kHA/edit?usp=sharing"",""แผน!EA67"")"),22)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10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100</v>
      </c>
      <c r="J276" s="810">
        <f t="shared" si="124"/>
        <v>100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191010</v>
      </c>
      <c r="M277" s="154">
        <f t="shared" ca="1" si="125"/>
        <v>191010</v>
      </c>
      <c r="N277" s="154">
        <f t="shared" ca="1" si="125"/>
        <v>157897.97</v>
      </c>
      <c r="O277" s="154">
        <f t="shared" ref="O277:O285" ca="1" si="126">IF(L277&gt;0,N277*100/L277,0)</f>
        <v>82.664766242605097</v>
      </c>
      <c r="P277" s="154">
        <f t="shared" ref="P277:P285" ca="1" si="127">IF(M277&gt;0,N277*100/M277,0)</f>
        <v>82.664766242605097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191010</v>
      </c>
      <c r="M279" s="45">
        <f t="shared" ca="1" si="128"/>
        <v>191010</v>
      </c>
      <c r="N279" s="45">
        <f t="shared" ca="1" si="128"/>
        <v>157897.97</v>
      </c>
      <c r="O279" s="45">
        <f t="shared" ca="1" si="126"/>
        <v>82.664766242605097</v>
      </c>
      <c r="P279" s="45">
        <f t="shared" ca="1" si="127"/>
        <v>82.664766242605097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191010</v>
      </c>
      <c r="M280" s="38">
        <f t="shared" ca="1" si="129"/>
        <v>191010</v>
      </c>
      <c r="N280" s="38">
        <f t="shared" ca="1" si="129"/>
        <v>157897.97</v>
      </c>
      <c r="O280" s="38">
        <f t="shared" ca="1" si="126"/>
        <v>82.664766242605097</v>
      </c>
      <c r="P280" s="38">
        <f t="shared" ca="1" si="127"/>
        <v>82.664766242605097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IFERROR(__xludf.DUMMYFUNCTION("IMPORTRANGE(""https://docs.google.com/spreadsheets/d/1MeEWN-I1oV_STSDYn1IFDPWt_1FKiwhDph83XaGc0o0/edit?usp=sharing"",""งบพรบ!DI67"")"),191010)</f>
        <v>191010</v>
      </c>
      <c r="M282" s="45">
        <f ca="1">IFERROR(__xludf.DUMMYFUNCTION("IMPORTRANGE(""https://docs.google.com/spreadsheets/d/1MeEWN-I1oV_STSDYn1IFDPWt_1FKiwhDph83XaGc0o0/edit?usp=sharing"",""งบพรบ!DN67"")"),191010)</f>
        <v>191010</v>
      </c>
      <c r="N282" s="45">
        <f ca="1">IFERROR(__xludf.DUMMYFUNCTION("IMPORTRANGE(""https://docs.google.com/spreadsheets/d/1MeEWN-I1oV_STSDYn1IFDPWt_1FKiwhDph83XaGc0o0/edit?usp=sharing"",""งบพรบ!DP67"")"),157897.97)</f>
        <v>157897.97</v>
      </c>
      <c r="O282" s="45">
        <f t="shared" ca="1" si="126"/>
        <v>82.664766242605097</v>
      </c>
      <c r="P282" s="45">
        <f t="shared" ca="1" si="127"/>
        <v>82.664766242605097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IFERROR(__xludf.DUMMYFUNCTION("IMPORTRANGE(""https://docs.google.com/spreadsheets/d/1MeEWN-I1oV_STSDYn1IFDPWt_1FKiwhDph83XaGc0o0/edit?usp=sharing"",""งบพรบ!DL67"")"),0)</f>
        <v>0</v>
      </c>
      <c r="M285" s="45">
        <f ca="1">IFERROR(__xludf.DUMMYFUNCTION("IMPORTRANGE(""https://docs.google.com/spreadsheets/d/1MeEWN-I1oV_STSDYn1IFDPWt_1FKiwhDph83XaGc0o0/edit?usp=sharing"",""งบพรบ!DO67"")"),0)</f>
        <v>0</v>
      </c>
      <c r="N285" s="45">
        <f ca="1">IFERROR(__xludf.DUMMYFUNCTION("IMPORTRANGE(""https://docs.google.com/spreadsheets/d/1MeEWN-I1oV_STSDYn1IFDPWt_1FKiwhDph83XaGc0o0/edit?usp=sharing"",""งบพรบ!DQ67"")"),0)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IFERROR(__xludf.DUMMYFUNCTION("IMPORTRANGE(""https://docs.google.com/spreadsheets/d/1QqKyyYR6Q21VydFLVH3TRQUabQu_ym0Zz7PgGX0-kHA/edit?usp=sharing"",""แผน!EC67"")"),100)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IFERROR(__xludf.DUMMYFUNCTION("IMPORTRANGE(""https://docs.google.com/spreadsheets/d/1QqKyyYR6Q21VydFLVH3TRQUabQu_ym0Zz7PgGX0-kHA/edit?usp=sharing"",""แผน!EB67"")"),10)</f>
        <v>10</v>
      </c>
      <c r="J288" s="190">
        <f ca="1">IF(AND(J291&gt;=I288,J294&gt;=I288),J294,0)</f>
        <v>10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IFERROR(__xludf.DUMMYFUNCTION("IMPORTRANGE(""https://docs.google.com/spreadsheets/d/1QqKyyYR6Q21VydFLVH3TRQUabQu_ym0Zz7PgGX0-kHA/edit?usp=sharing"",""แผน!EB67"")"),10)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IFERROR(__xludf.DUMMYFUNCTION("IMPORTRANGE(""https://docs.google.com/spreadsheets/d/1QqKyyYR6Q21VydFLVH3TRQUabQu_ym0Zz7PgGX0-kHA/edit?usp=sharing"",""แผน!EB67"")"),10)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IFERROR(__xludf.DUMMYFUNCTION("IMPORTRANGE(""https://docs.google.com/spreadsheets/d/1QqKyyYR6Q21VydFLVH3TRQUabQu_ym0Zz7PgGX0-kHA/edit?usp=sharing"",""แผน!EB67"")"),10)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IFERROR(__xludf.DUMMYFUNCTION("IMPORTRANGE(""https://docs.google.com/spreadsheets/d/1QqKyyYR6Q21VydFLVH3TRQUabQu_ym0Zz7PgGX0-kHA/edit?usp=sharing"",""แผน!EB67"")"),10)</f>
        <v>10</v>
      </c>
      <c r="J294" s="401">
        <v>10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15</v>
      </c>
      <c r="J297" s="421">
        <f t="shared" si="134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206800</v>
      </c>
      <c r="M298" s="154">
        <f t="shared" ca="1" si="135"/>
        <v>219300</v>
      </c>
      <c r="N298" s="154">
        <f t="shared" ca="1" si="135"/>
        <v>183368.17</v>
      </c>
      <c r="O298" s="154">
        <f t="shared" ref="O298:O306" ca="1" si="136">IF(L298&gt;0,N298*100/L298,0)</f>
        <v>88.669327852998066</v>
      </c>
      <c r="P298" s="154">
        <f t="shared" ref="P298:P306" ca="1" si="137">IF(M298&gt;0,N298*100/M298,0)</f>
        <v>83.61521659826721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206800</v>
      </c>
      <c r="M300" s="45">
        <f t="shared" ca="1" si="138"/>
        <v>219300</v>
      </c>
      <c r="N300" s="45">
        <f t="shared" ca="1" si="138"/>
        <v>183368.17</v>
      </c>
      <c r="O300" s="45">
        <f t="shared" ca="1" si="136"/>
        <v>88.669327852998066</v>
      </c>
      <c r="P300" s="45">
        <f t="shared" ca="1" si="137"/>
        <v>83.61521659826721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206800</v>
      </c>
      <c r="M301" s="38">
        <f t="shared" ca="1" si="139"/>
        <v>219300</v>
      </c>
      <c r="N301" s="38">
        <f t="shared" ca="1" si="139"/>
        <v>183368.17</v>
      </c>
      <c r="O301" s="38">
        <f t="shared" ca="1" si="136"/>
        <v>88.669327852998066</v>
      </c>
      <c r="P301" s="38">
        <f t="shared" ca="1" si="137"/>
        <v>83.61521659826721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IFERROR(__xludf.DUMMYFUNCTION("IMPORTRANGE(""https://docs.google.com/spreadsheets/d/1MeEWN-I1oV_STSDYn1IFDPWt_1FKiwhDph83XaGc0o0/edit?usp=sharing"",""งบพรบ!DS67"")"),206800)</f>
        <v>206800</v>
      </c>
      <c r="M303" s="45">
        <f ca="1">IFERROR(__xludf.DUMMYFUNCTION("IMPORTRANGE(""https://docs.google.com/spreadsheets/d/1MeEWN-I1oV_STSDYn1IFDPWt_1FKiwhDph83XaGc0o0/edit?usp=sharing"",""งบพรบ!DX67"")"),219300)</f>
        <v>219300</v>
      </c>
      <c r="N303" s="45">
        <f ca="1">IFERROR(__xludf.DUMMYFUNCTION("IMPORTRANGE(""https://docs.google.com/spreadsheets/d/1MeEWN-I1oV_STSDYn1IFDPWt_1FKiwhDph83XaGc0o0/edit?usp=sharing"",""งบพรบ!DZ67"")"),183368.17)</f>
        <v>183368.17</v>
      </c>
      <c r="O303" s="45">
        <f t="shared" ca="1" si="136"/>
        <v>88.669327852998066</v>
      </c>
      <c r="P303" s="45">
        <f t="shared" ca="1" si="137"/>
        <v>83.61521659826721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IFERROR(__xludf.DUMMYFUNCTION("IMPORTRANGE(""https://docs.google.com/spreadsheets/d/1MeEWN-I1oV_STSDYn1IFDPWt_1FKiwhDph83XaGc0o0/edit?usp=sharing"",""งบพรบ!DV67"")"),0)</f>
        <v>0</v>
      </c>
      <c r="M306" s="45">
        <f ca="1">IFERROR(__xludf.DUMMYFUNCTION("IMPORTRANGE(""https://docs.google.com/spreadsheets/d/1MeEWN-I1oV_STSDYn1IFDPWt_1FKiwhDph83XaGc0o0/edit?usp=sharing"",""งบพรบ!DY67"")"),0)</f>
        <v>0</v>
      </c>
      <c r="N306" s="45">
        <f ca="1">IFERROR(__xludf.DUMMYFUNCTION("IMPORTRANGE(""https://docs.google.com/spreadsheets/d/1MeEWN-I1oV_STSDYn1IFDPWt_1FKiwhDph83XaGc0o0/edit?usp=sharing"",""งบพรบ!EA67"")"),0)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IFERROR(__xludf.DUMMYFUNCTION("IMPORTRANGE(""https://docs.google.com/spreadsheets/d/1QqKyyYR6Q21VydFLVH3TRQUabQu_ym0Zz7PgGX0-kHA/edit?usp=sharing"",""แผน!ED67"")"),15)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IFERROR(__xludf.DUMMYFUNCTION("IMPORTRANGE(""https://docs.google.com/spreadsheets/d/1QqKyyYR6Q21VydFLVH3TRQUabQu_ym0Zz7PgGX0-kHA/edit?usp=sharing"",""แผน!ED67"")"),15)</f>
        <v>15</v>
      </c>
      <c r="J310" s="181">
        <v>15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IFERROR(__xludf.DUMMYFUNCTION("IMPORTRANGE(""https://docs.google.com/spreadsheets/d/1QqKyyYR6Q21VydFLVH3TRQUabQu_ym0Zz7PgGX0-kHA/edit?usp=sharing"",""แผน!ED67"")"),15)</f>
        <v>15</v>
      </c>
      <c r="J311" s="181">
        <v>15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IFERROR(__xludf.DUMMYFUNCTION("IMPORTRANGE(""https://docs.google.com/spreadsheets/d/1QqKyyYR6Q21VydFLVH3TRQUabQu_ym0Zz7PgGX0-kHA/edit?usp=sharing"",""แผน!EE67"")"),3)</f>
        <v>3</v>
      </c>
      <c r="J312" s="181">
        <v>3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IFERROR(__xludf.DUMMYFUNCTION("IMPORTRANGE(""https://docs.google.com/spreadsheets/d/1MeEWN-I1oV_STSDYn1IFDPWt_1FKiwhDph83XaGc0o0/edit?usp=sharing"",""งบพรบ!EC67"")"),0)</f>
        <v>0</v>
      </c>
      <c r="M320" s="45">
        <f ca="1">IFERROR(__xludf.DUMMYFUNCTION("IMPORTRANGE(""https://docs.google.com/spreadsheets/d/1MeEWN-I1oV_STSDYn1IFDPWt_1FKiwhDph83XaGc0o0/edit?usp=sharing"",""งบพรบ!EH67"")"),0)</f>
        <v>0</v>
      </c>
      <c r="N320" s="45">
        <f ca="1">IFERROR(__xludf.DUMMYFUNCTION("IMPORTRANGE(""https://docs.google.com/spreadsheets/d/1MeEWN-I1oV_STSDYn1IFDPWt_1FKiwhDph83XaGc0o0/edit?usp=sharing"",""งบพรบ!EJ67"")"),0)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IFERROR(__xludf.DUMMYFUNCTION("IMPORTRANGE(""https://docs.google.com/spreadsheets/d/1MeEWN-I1oV_STSDYn1IFDPWt_1FKiwhDph83XaGc0o0/edit?usp=sharing"",""งบพรบ!EF67"")"),0)</f>
        <v>0</v>
      </c>
      <c r="M323" s="45">
        <f ca="1">IFERROR(__xludf.DUMMYFUNCTION("IMPORTRANGE(""https://docs.google.com/spreadsheets/d/1MeEWN-I1oV_STSDYn1IFDPWt_1FKiwhDph83XaGc0o0/edit?usp=sharing"",""งบพรบ!EI67"")"),0)</f>
        <v>0</v>
      </c>
      <c r="N323" s="45">
        <f ca="1">IFERROR(__xludf.DUMMYFUNCTION("IMPORTRANGE(""https://docs.google.com/spreadsheets/d/1MeEWN-I1oV_STSDYn1IFDPWt_1FKiwhDph83XaGc0o0/edit?usp=sharing"",""งบพรบ!EK67"")"),0)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IFERROR(__xludf.DUMMYFUNCTION("IMPORTRANGE(""https://docs.google.com/spreadsheets/d/1QqKyyYR6Q21VydFLVH3TRQUabQu_ym0Zz7PgGX0-kHA/edit?usp=sharing"",""แผน!EG67"")"),1600)</f>
        <v>1600</v>
      </c>
      <c r="J327" s="421">
        <f ca="1">J338+J341+J342+J343</f>
        <v>5312</v>
      </c>
      <c r="K327" s="422">
        <f ca="1">IF(I327&gt;0,J327*100/I327,0)</f>
        <v>332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687200</v>
      </c>
      <c r="M328" s="154">
        <f t="shared" ca="1" si="149"/>
        <v>689700</v>
      </c>
      <c r="N328" s="154">
        <f t="shared" ca="1" si="149"/>
        <v>557162.94999999995</v>
      </c>
      <c r="O328" s="154">
        <f t="shared" ref="O328:O336" ca="1" si="150">IF(L328&gt;0,N328*100/L328,0)</f>
        <v>81.077262805587878</v>
      </c>
      <c r="P328" s="154">
        <f t="shared" ref="P328:P336" ca="1" si="151">IF(M328&gt;0,N328*100/M328,0)</f>
        <v>80.783376830506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687200</v>
      </c>
      <c r="M330" s="45">
        <f t="shared" ca="1" si="152"/>
        <v>689700</v>
      </c>
      <c r="N330" s="45">
        <f t="shared" ca="1" si="152"/>
        <v>557162.94999999995</v>
      </c>
      <c r="O330" s="45">
        <f t="shared" ca="1" si="150"/>
        <v>81.077262805587878</v>
      </c>
      <c r="P330" s="45">
        <f t="shared" ca="1" si="151"/>
        <v>80.783376830506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687200</v>
      </c>
      <c r="M331" s="38">
        <f t="shared" ca="1" si="153"/>
        <v>689700</v>
      </c>
      <c r="N331" s="38">
        <f t="shared" ca="1" si="153"/>
        <v>557162.94999999995</v>
      </c>
      <c r="O331" s="38">
        <f t="shared" ca="1" si="150"/>
        <v>81.077262805587878</v>
      </c>
      <c r="P331" s="38">
        <f t="shared" ca="1" si="151"/>
        <v>80.783376830506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IFERROR(__xludf.DUMMYFUNCTION("IMPORTRANGE(""https://docs.google.com/spreadsheets/d/1MeEWN-I1oV_STSDYn1IFDPWt_1FKiwhDph83XaGc0o0/edit?usp=sharing"",""งบพรบ!EM67"")"),687200)</f>
        <v>687200</v>
      </c>
      <c r="M333" s="45">
        <f ca="1">IFERROR(__xludf.DUMMYFUNCTION("IMPORTRANGE(""https://docs.google.com/spreadsheets/d/1MeEWN-I1oV_STSDYn1IFDPWt_1FKiwhDph83XaGc0o0/edit?usp=sharing"",""งบพรบ!ER67"")"),689700)</f>
        <v>689700</v>
      </c>
      <c r="N333" s="45">
        <f ca="1">IFERROR(__xludf.DUMMYFUNCTION("IMPORTRANGE(""https://docs.google.com/spreadsheets/d/1MeEWN-I1oV_STSDYn1IFDPWt_1FKiwhDph83XaGc0o0/edit?usp=sharing"",""งบพรบ!ET67"")"),557162.95)</f>
        <v>557162.94999999995</v>
      </c>
      <c r="O333" s="45">
        <f t="shared" ca="1" si="150"/>
        <v>81.077262805587878</v>
      </c>
      <c r="P333" s="45">
        <f t="shared" ca="1" si="151"/>
        <v>80.783376830506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IFERROR(__xludf.DUMMYFUNCTION("IMPORTRANGE(""https://docs.google.com/spreadsheets/d/1MeEWN-I1oV_STSDYn1IFDPWt_1FKiwhDph83XaGc0o0/edit?usp=sharing"",""งบพรบ!EP67"")"),0)</f>
        <v>0</v>
      </c>
      <c r="M336" s="45">
        <f ca="1">IFERROR(__xludf.DUMMYFUNCTION("IMPORTRANGE(""https://docs.google.com/spreadsheets/d/1MeEWN-I1oV_STSDYn1IFDPWt_1FKiwhDph83XaGc0o0/edit?usp=sharing"",""งบพรบ!ES67"")"),0)</f>
        <v>0</v>
      </c>
      <c r="N336" s="45">
        <f ca="1">IFERROR(__xludf.DUMMYFUNCTION("IMPORTRANGE(""https://docs.google.com/spreadsheets/d/1MeEWN-I1oV_STSDYn1IFDPWt_1FKiwhDph83XaGc0o0/edit?usp=sharing"",""งบพรบ!EU67"")"),0)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IFERROR(__xludf.DUMMYFUNCTION("IMPORTRANGE(""https://docs.google.com/spreadsheets/d/1QqKyyYR6Q21VydFLVH3TRQUabQu_ym0Zz7PgGX0-kHA/edit?usp=sharing"",""แผน!EG67"")"),1600)</f>
        <v>1600</v>
      </c>
      <c r="J338" s="37">
        <f ca="1">IFERROR(__xludf.DUMMYFUNCTION("IMPORTRANGE(""https://docs.google.com/spreadsheets/d/1kVcqe37tkHyjCSG3S0O1AXqVkqjo8mSIZil3BcpIysc/edit?usp=sharing"",""ศูนย์!D67"")"),5165)</f>
        <v>5165</v>
      </c>
      <c r="K338" s="38">
        <f ca="1">IF(I338&gt;0,J338*100/I338,0)</f>
        <v>322.8125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IFERROR(__xludf.DUMMYFUNCTION("IMPORTRANGE(""https://docs.google.com/spreadsheets/d/1QqKyyYR6Q21VydFLVH3TRQUabQu_ym0Zz7PgGX0-kHA/edit?usp=sharing"",""แผน!EH67"")"),6)</f>
        <v>6</v>
      </c>
      <c r="J340" s="37">
        <f ca="1">IFERROR(__xludf.DUMMYFUNCTION("IMPORTRANGE(""https://docs.google.com/spreadsheets/d/1kVcqe37tkHyjCSG3S0O1AXqVkqjo8mSIZil3BcpIysc/edit?usp=sharing"",""ศูนย์!E67"")"),5)</f>
        <v>5</v>
      </c>
      <c r="K340" s="38">
        <f ca="1">IF(I340&gt;0,J340*100/I340,0)</f>
        <v>83.333333333333329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IFERROR(__xludf.DUMMYFUNCTION("IMPORTRANGE(""https://docs.google.com/spreadsheets/d/1kVcqe37tkHyjCSG3S0O1AXqVkqjo8mSIZil3BcpIysc/edit?usp=sharing"",""ศูนย์!F67"")"),139)</f>
        <v>139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IFERROR(__xludf.DUMMYFUNCTION("IMPORTRANGE(""https://docs.google.com/spreadsheets/d/1kVcqe37tkHyjCSG3S0O1AXqVkqjo8mSIZil3BcpIysc/edit?usp=sharing"",""ศูนย์!G67"")"),8)</f>
        <v>8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IFERROR(__xludf.DUMMYFUNCTION("IMPORTRANGE(""https://docs.google.com/spreadsheets/d/1kVcqe37tkHyjCSG3S0O1AXqVkqjo8mSIZil3BcpIysc/edit?usp=sharing"",""ศูนย์!H67"")"),0)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372250</v>
      </c>
      <c r="M345" s="154">
        <f t="shared" ca="1" si="155"/>
        <v>516450</v>
      </c>
      <c r="N345" s="154">
        <f t="shared" ca="1" si="155"/>
        <v>354952.85</v>
      </c>
      <c r="O345" s="154">
        <f t="shared" ref="O345:O353" ca="1" si="156">IF(L345&gt;0,N345*100/L345,0)</f>
        <v>95.353351242444589</v>
      </c>
      <c r="P345" s="154">
        <f t="shared" ref="P345:P353" ca="1" si="157">IF(M345&gt;0,N345*100/M345,0)</f>
        <v>68.729373608287347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372250</v>
      </c>
      <c r="M347" s="45">
        <f t="shared" ca="1" si="158"/>
        <v>516450</v>
      </c>
      <c r="N347" s="45">
        <f t="shared" ca="1" si="158"/>
        <v>354952.85</v>
      </c>
      <c r="O347" s="45">
        <f t="shared" ca="1" si="156"/>
        <v>95.353351242444589</v>
      </c>
      <c r="P347" s="45">
        <f t="shared" ca="1" si="157"/>
        <v>68.729373608287347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357250</v>
      </c>
      <c r="M348" s="38">
        <f t="shared" ca="1" si="159"/>
        <v>501450</v>
      </c>
      <c r="N348" s="38">
        <f t="shared" ca="1" si="159"/>
        <v>339952.85</v>
      </c>
      <c r="O348" s="38">
        <f t="shared" ca="1" si="156"/>
        <v>95.158250524842543</v>
      </c>
      <c r="P348" s="38">
        <f t="shared" ca="1" si="157"/>
        <v>67.793967494266624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IFERROR(__xludf.DUMMYFUNCTION("IMPORTRANGE(""https://docs.google.com/spreadsheets/d/1MeEWN-I1oV_STSDYn1IFDPWt_1FKiwhDph83XaGc0o0/edit?usp=sharing"",""งบพรบ!EW67"")"),357250)</f>
        <v>357250</v>
      </c>
      <c r="M350" s="45">
        <f ca="1">IFERROR(__xludf.DUMMYFUNCTION("IMPORTRANGE(""https://docs.google.com/spreadsheets/d/1MeEWN-I1oV_STSDYn1IFDPWt_1FKiwhDph83XaGc0o0/edit?usp=sharing"",""งบพรบ!FB67"")"),501450)</f>
        <v>501450</v>
      </c>
      <c r="N350" s="45">
        <f ca="1">IFERROR(__xludf.DUMMYFUNCTION("IMPORTRANGE(""https://docs.google.com/spreadsheets/d/1MeEWN-I1oV_STSDYn1IFDPWt_1FKiwhDph83XaGc0o0/edit?usp=sharing"",""งบพรบ!FD67"")"),339952.85)</f>
        <v>339952.85</v>
      </c>
      <c r="O350" s="45">
        <f t="shared" ca="1" si="156"/>
        <v>95.158250524842543</v>
      </c>
      <c r="P350" s="45">
        <f t="shared" ca="1" si="157"/>
        <v>67.793967494266624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15000</v>
      </c>
      <c r="M351" s="38">
        <f t="shared" ca="1" si="160"/>
        <v>15000</v>
      </c>
      <c r="N351" s="38">
        <f t="shared" ca="1" si="160"/>
        <v>15000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IFERROR(__xludf.DUMMYFUNCTION("IMPORTRANGE(""https://docs.google.com/spreadsheets/d/1MeEWN-I1oV_STSDYn1IFDPWt_1FKiwhDph83XaGc0o0/edit?usp=sharing"",""งบพรบ!EZ67"")"),15000)</f>
        <v>15000</v>
      </c>
      <c r="M353" s="45">
        <f ca="1">IFERROR(__xludf.DUMMYFUNCTION("IMPORTRANGE(""https://docs.google.com/spreadsheets/d/1MeEWN-I1oV_STSDYn1IFDPWt_1FKiwhDph83XaGc0o0/edit?usp=sharing"",""งบพรบ!FC67"")"),15000)</f>
        <v>15000</v>
      </c>
      <c r="N353" s="45">
        <f ca="1">IFERROR(__xludf.DUMMYFUNCTION("IMPORTRANGE(""https://docs.google.com/spreadsheets/d/1MeEWN-I1oV_STSDYn1IFDPWt_1FKiwhDph83XaGc0o0/edit?usp=sharing"",""งบพรบ!FE67"")"),15000)</f>
        <v>15000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IFERROR(__xludf.DUMMYFUNCTION("IMPORTRANGE(""https://docs.google.com/spreadsheets/d/1QqKyyYR6Q21VydFLVH3TRQUabQu_ym0Zz7PgGX0-kHA/edit?usp=sharing"",""แผน!EP67"")"),215)</f>
        <v>215</v>
      </c>
      <c r="J355" s="438">
        <f ca="1">J362</f>
        <v>189</v>
      </c>
      <c r="K355" s="439">
        <f ca="1">IF(I355&gt;0,J355*100/I355,0)</f>
        <v>87.906976744186053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IFERROR(__xludf.DUMMYFUNCTION("IMPORTRANGE(""https://docs.google.com/spreadsheets/d/1XWAQStnk-4SwqDmLtmXYiTMKHgktTP8We1SCoS47DrQ/edit?usp=sharing"",""จัดที่ดิน!W67"")"),220)</f>
        <v>220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IFERROR(__xludf.DUMMYFUNCTION("IMPORTRANGE(""https://docs.google.com/spreadsheets/d/1QqKyyYR6Q21VydFLVH3TRQUabQu_ym0Zz7PgGX0-kHA/edit?usp=sharing"",""แผน!EO67"")"),2500)</f>
        <v>2500</v>
      </c>
      <c r="J359" s="37">
        <f ca="1">IFERROR(__xludf.DUMMYFUNCTION("IMPORTRANGE(""https://docs.google.com/spreadsheets/d/1XWAQStnk-4SwqDmLtmXYiTMKHgktTP8We1SCoS47DrQ/edit?usp=sharing"",""จัดที่ดิน!X67"")"),1762.4)</f>
        <v>1762.4</v>
      </c>
      <c r="K359" s="38">
        <f t="shared" ca="1" si="161"/>
        <v>70.495999999999995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IFERROR(__xludf.DUMMYFUNCTION("IMPORTRANGE(""https://docs.google.com/spreadsheets/d/1QqKyyYR6Q21VydFLVH3TRQUabQu_ym0Zz7PgGX0-kHA/edit?usp=sharing"",""แผน!EP67"")"),215)</f>
        <v>215</v>
      </c>
      <c r="J360" s="37">
        <f ca="1">IFERROR(__xludf.DUMMYFUNCTION("IMPORTRANGE(""https://docs.google.com/spreadsheets/d/1XWAQStnk-4SwqDmLtmXYiTMKHgktTP8We1SCoS47DrQ/edit?usp=sharing"",""จัดที่ดิน!Y67"")"),282)</f>
        <v>282</v>
      </c>
      <c r="K360" s="38">
        <f t="shared" ca="1" si="161"/>
        <v>131.16279069767441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IFERROR(__xludf.DUMMYFUNCTION("IMPORTRANGE(""https://docs.google.com/spreadsheets/d/1XWAQStnk-4SwqDmLtmXYiTMKHgktTP8We1SCoS47DrQ/edit?usp=sharing"",""จัดที่ดิน!Z67"")"),2603.64)</f>
        <v>2603.64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IFERROR(__xludf.DUMMYFUNCTION("IMPORTRANGE(""https://docs.google.com/spreadsheets/d/1QqKyyYR6Q21VydFLVH3TRQUabQu_ym0Zz7PgGX0-kHA/edit?usp=sharing"",""แผน!EP67"")"),215)</f>
        <v>215</v>
      </c>
      <c r="J362" s="37">
        <f ca="1">IFERROR(__xludf.DUMMYFUNCTION("IMPORTRANGE(""https://docs.google.com/spreadsheets/d/1XWAQStnk-4SwqDmLtmXYiTMKHgktTP8We1SCoS47DrQ/edit?usp=sharing"",""จัดที่ดิน!AA67"")"),189)</f>
        <v>189</v>
      </c>
      <c r="K362" s="38">
        <f t="shared" ca="1" si="161"/>
        <v>87.906976744186053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IFERROR(__xludf.DUMMYFUNCTION("IMPORTRANGE(""https://docs.google.com/spreadsheets/d/1XWAQStnk-4SwqDmLtmXYiTMKHgktTP8We1SCoS47DrQ/edit?usp=sharing"",""จัดที่ดิน!AB67"")"),1620.63)</f>
        <v>1620.63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365</v>
      </c>
      <c r="J364" s="452">
        <f t="shared" ca="1" si="162"/>
        <v>297</v>
      </c>
      <c r="K364" s="453">
        <f t="shared" ca="1" si="161"/>
        <v>81.369863013698634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IFERROR(__xludf.DUMMYFUNCTION("IMPORTRANGE(""https://docs.google.com/spreadsheets/d/1QqKyyYR6Q21VydFLVH3TRQUabQu_ym0Zz7PgGX0-kHA/edit?usp=sharing"",""แผน!EJ67"")"),120)</f>
        <v>120</v>
      </c>
      <c r="J365" s="462">
        <f ca="1">J372</f>
        <v>86</v>
      </c>
      <c r="K365" s="463">
        <f t="shared" ca="1" si="161"/>
        <v>71.666666666666671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IFERROR(__xludf.DUMMYFUNCTION("IMPORTRANGE(""https://docs.google.com/spreadsheets/d/1XWAQStnk-4SwqDmLtmXYiTMKHgktTP8We1SCoS47DrQ/edit?usp=sharing"",""จัดที่ดิน!E67"")"),118)</f>
        <v>118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IFERROR(__xludf.DUMMYFUNCTION("IMPORTRANGE(""https://docs.google.com/spreadsheets/d/1QqKyyYR6Q21VydFLVH3TRQUabQu_ym0Zz7PgGX0-kHA/edit?usp=sharing"",""แผน!EI67"")"),1500)</f>
        <v>1500</v>
      </c>
      <c r="J369" s="37">
        <f ca="1">IFERROR(__xludf.DUMMYFUNCTION("IMPORTRANGE(""https://docs.google.com/spreadsheets/d/1XWAQStnk-4SwqDmLtmXYiTMKHgktTP8We1SCoS47DrQ/edit?usp=sharing"",""จัดที่ดิน!F67"")"),1198.06)</f>
        <v>1198.06</v>
      </c>
      <c r="K369" s="38">
        <f t="shared" ca="1" si="163"/>
        <v>79.870666666666665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IFERROR(__xludf.DUMMYFUNCTION("IMPORTRANGE(""https://docs.google.com/spreadsheets/d/1QqKyyYR6Q21VydFLVH3TRQUabQu_ym0Zz7PgGX0-kHA/edit?usp=sharing"",""แผน!EJ67"")"),120)</f>
        <v>120</v>
      </c>
      <c r="J370" s="37">
        <f ca="1">IFERROR(__xludf.DUMMYFUNCTION("IMPORTRANGE(""https://docs.google.com/spreadsheets/d/1XWAQStnk-4SwqDmLtmXYiTMKHgktTP8We1SCoS47DrQ/edit?usp=sharing"",""จัดที่ดิน!G67"")"),178)</f>
        <v>178</v>
      </c>
      <c r="K370" s="38">
        <f t="shared" ca="1" si="163"/>
        <v>148.33333333333334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IFERROR(__xludf.DUMMYFUNCTION("IMPORTRANGE(""https://docs.google.com/spreadsheets/d/1XWAQStnk-4SwqDmLtmXYiTMKHgktTP8We1SCoS47DrQ/edit?usp=sharing"",""จัดที่ดิน!H67"")"),2019.3)</f>
        <v>2019.3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IFERROR(__xludf.DUMMYFUNCTION("IMPORTRANGE(""https://docs.google.com/spreadsheets/d/1QqKyyYR6Q21VydFLVH3TRQUabQu_ym0Zz7PgGX0-kHA/edit?usp=sharing"",""แผน!EJ67"")"),120)</f>
        <v>120</v>
      </c>
      <c r="J372" s="37">
        <f ca="1">IFERROR(__xludf.DUMMYFUNCTION("IMPORTRANGE(""https://docs.google.com/spreadsheets/d/1XWAQStnk-4SwqDmLtmXYiTMKHgktTP8We1SCoS47DrQ/edit?usp=sharing"",""จัดที่ดิน!I67"")"),86)</f>
        <v>86</v>
      </c>
      <c r="K372" s="38">
        <f t="shared" ca="1" si="163"/>
        <v>71.666666666666671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IFERROR(__xludf.DUMMYFUNCTION("IMPORTRANGE(""https://docs.google.com/spreadsheets/d/1XWAQStnk-4SwqDmLtmXYiTMKHgktTP8We1SCoS47DrQ/edit?usp=sharing"",""จัดที่ดิน!J67"")"),1036.42)</f>
        <v>1036.42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IFERROR(__xludf.DUMMYFUNCTION("IMPORTRANGE(""https://docs.google.com/spreadsheets/d/1QqKyyYR6Q21VydFLVH3TRQUabQu_ym0Zz7PgGX0-kHA/edit?usp=sharing"",""แผน!EU67"")"),245)</f>
        <v>245</v>
      </c>
      <c r="J374" s="462">
        <f ca="1">J381</f>
        <v>211</v>
      </c>
      <c r="K374" s="463">
        <f t="shared" ca="1" si="163"/>
        <v>86.122448979591837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IFERROR(__xludf.DUMMYFUNCTION("IMPORTRANGE(""https://docs.google.com/spreadsheets/d/1XWAQStnk-4SwqDmLtmXYiTMKHgktTP8We1SCoS47DrQ/edit?usp=sharing"",""จัดที่ดิน!AH67"")"),102)</f>
        <v>102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IFERROR(__xludf.DUMMYFUNCTION("IMPORTRANGE(""https://docs.google.com/spreadsheets/d/1QqKyyYR6Q21VydFLVH3TRQUabQu_ym0Zz7PgGX0-kHA/edit?usp=sharing"",""แผน!ET67"")"),1000)</f>
        <v>1000</v>
      </c>
      <c r="J378" s="37">
        <f ca="1">IFERROR(__xludf.DUMMYFUNCTION("IMPORTRANGE(""https://docs.google.com/spreadsheets/d/1XWAQStnk-4SwqDmLtmXYiTMKHgktTP8We1SCoS47DrQ/edit?usp=sharing"",""จัดที่ดิน!AI67"")"),564.34)</f>
        <v>564.34</v>
      </c>
      <c r="K378" s="38">
        <f t="shared" ca="1" si="164"/>
        <v>56.433999999999997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IFERROR(__xludf.DUMMYFUNCTION("IMPORTRANGE(""https://docs.google.com/spreadsheets/d/1QqKyyYR6Q21VydFLVH3TRQUabQu_ym0Zz7PgGX0-kHA/edit?usp=sharing"",""แผน!EU67"")"),245)</f>
        <v>245</v>
      </c>
      <c r="J379" s="37">
        <f ca="1">IFERROR(__xludf.DUMMYFUNCTION("IMPORTRANGE(""https://docs.google.com/spreadsheets/d/1XWAQStnk-4SwqDmLtmXYiTMKHgktTP8We1SCoS47DrQ/edit?usp=sharing"",""จัดที่ดิน!AJ67"")"),212)</f>
        <v>212</v>
      </c>
      <c r="K379" s="38">
        <f t="shared" ca="1" si="164"/>
        <v>86.530612244897952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IFERROR(__xludf.DUMMYFUNCTION("IMPORTRANGE(""https://docs.google.com/spreadsheets/d/1XWAQStnk-4SwqDmLtmXYiTMKHgktTP8We1SCoS47DrQ/edit?usp=sharing"",""จัดที่ดิน!AK67"")"),1911.96)</f>
        <v>1911.96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IFERROR(__xludf.DUMMYFUNCTION("IMPORTRANGE(""https://docs.google.com/spreadsheets/d/1QqKyyYR6Q21VydFLVH3TRQUabQu_ym0Zz7PgGX0-kHA/edit?usp=sharing"",""แผน!EU67"")"),245)</f>
        <v>245</v>
      </c>
      <c r="J381" s="37">
        <f ca="1">IFERROR(__xludf.DUMMYFUNCTION("IMPORTRANGE(""https://docs.google.com/spreadsheets/d/1XWAQStnk-4SwqDmLtmXYiTMKHgktTP8We1SCoS47DrQ/edit?usp=sharing"",""จัดที่ดิน!AL67"")"),211)</f>
        <v>211</v>
      </c>
      <c r="K381" s="38">
        <f t="shared" ca="1" si="164"/>
        <v>86.122448979591837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IFERROR(__xludf.DUMMYFUNCTION("IMPORTRANGE(""https://docs.google.com/spreadsheets/d/1XWAQStnk-4SwqDmLtmXYiTMKHgktTP8We1SCoS47DrQ/edit?usp=sharing"",""จัดที่ดิน!AM67"")"),1911.83)</f>
        <v>1911.83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IFERROR(__xludf.DUMMYFUNCTION("IMPORTRANGE(""https://docs.google.com/spreadsheets/d/1QqKyyYR6Q21VydFLVH3TRQUabQu_ym0Zz7PgGX0-kHA/edit?usp=sharing"",""แผน!EW67"")"),10)</f>
        <v>10</v>
      </c>
      <c r="J385" s="365">
        <f ca="1">IFERROR(__xludf.DUMMYFUNCTION("IMPORTRANGE(""https://docs.google.com/spreadsheets/d/1XWAQStnk-4SwqDmLtmXYiTMKHgktTP8We1SCoS47DrQ/edit?usp=sharing"",""จัดที่ดิน!AP67"")"),1)</f>
        <v>1</v>
      </c>
      <c r="K385" s="472">
        <f ca="1">IF(I385&gt;0,J385*100/I385,0)</f>
        <v>10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IFERROR(__xludf.DUMMYFUNCTION("IMPORTRANGE(""https://docs.google.com/spreadsheets/d/1MeEWN-I1oV_STSDYn1IFDPWt_1FKiwhDph83XaGc0o0/edit?usp=sharing"",""งบพรบ!FG67"")"),0)</f>
        <v>0</v>
      </c>
      <c r="M394" s="45">
        <f ca="1">IFERROR(__xludf.DUMMYFUNCTION("IMPORTRANGE(""https://docs.google.com/spreadsheets/d/1MeEWN-I1oV_STSDYn1IFDPWt_1FKiwhDph83XaGc0o0/edit?usp=sharing"",""งบพรบ!FL67"")"),0)</f>
        <v>0</v>
      </c>
      <c r="N394" s="45">
        <f ca="1">IFERROR(__xludf.DUMMYFUNCTION("IMPORTRANGE(""https://docs.google.com/spreadsheets/d/1MeEWN-I1oV_STSDYn1IFDPWt_1FKiwhDph83XaGc0o0/edit?usp=sharing"",""งบพรบ!FN67"")"),0)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IFERROR(__xludf.DUMMYFUNCTION("IMPORTRANGE(""https://docs.google.com/spreadsheets/d/1MeEWN-I1oV_STSDYn1IFDPWt_1FKiwhDph83XaGc0o0/edit?usp=sharing"",""งบพรบ!FJ67"")"),0)</f>
        <v>0</v>
      </c>
      <c r="M397" s="45">
        <f ca="1">IFERROR(__xludf.DUMMYFUNCTION("IMPORTRANGE(""https://docs.google.com/spreadsheets/d/1MeEWN-I1oV_STSDYn1IFDPWt_1FKiwhDph83XaGc0o0/edit?usp=sharing"",""งบพรบ!FM67"")"),0)</f>
        <v>0</v>
      </c>
      <c r="N397" s="45">
        <f ca="1">IFERROR(__xludf.DUMMYFUNCTION("IMPORTRANGE(""https://docs.google.com/spreadsheets/d/1MeEWN-I1oV_STSDYn1IFDPWt_1FKiwhDph83XaGc0o0/edit?usp=sharing"",""งบพรบ!FO67"")"),0)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IFERROR(__xludf.DUMMYFUNCTION("IMPORTRANGE(""https://docs.google.com/spreadsheets/d/1MeEWN-I1oV_STSDYn1IFDPWt_1FKiwhDph83XaGc0o0/edit?usp=sharing"",""งบพรบ!FQ67"")"),0)</f>
        <v>0</v>
      </c>
      <c r="M407" s="45">
        <f ca="1">IFERROR(__xludf.DUMMYFUNCTION("IMPORTRANGE(""https://docs.google.com/spreadsheets/d/1MeEWN-I1oV_STSDYn1IFDPWt_1FKiwhDph83XaGc0o0/edit?usp=sharing"",""งบพรบ!FV67"")"),0)</f>
        <v>0</v>
      </c>
      <c r="N407" s="45">
        <f ca="1">IFERROR(__xludf.DUMMYFUNCTION("IMPORTRANGE(""https://docs.google.com/spreadsheets/d/1MeEWN-I1oV_STSDYn1IFDPWt_1FKiwhDph83XaGc0o0/edit?usp=sharing"",""งบพรบ!FX67"")"),0)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IFERROR(__xludf.DUMMYFUNCTION("IMPORTRANGE(""https://docs.google.com/spreadsheets/d/1MeEWN-I1oV_STSDYn1IFDPWt_1FKiwhDph83XaGc0o0/edit?usp=sharing"",""งบพรบ!FT67"")"),0)</f>
        <v>0</v>
      </c>
      <c r="M410" s="45">
        <f ca="1">IFERROR(__xludf.DUMMYFUNCTION("IMPORTRANGE(""https://docs.google.com/spreadsheets/d/1MeEWN-I1oV_STSDYn1IFDPWt_1FKiwhDph83XaGc0o0/edit?usp=sharing"",""งบพรบ!FW67"")"),0)</f>
        <v>0</v>
      </c>
      <c r="N410" s="45">
        <f ca="1">IFERROR(__xludf.DUMMYFUNCTION("IMPORTRANGE(""https://docs.google.com/spreadsheets/d/1MeEWN-I1oV_STSDYn1IFDPWt_1FKiwhDph83XaGc0o0/edit?usp=sharing"",""งบพรบ!FY67"")"),0)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1464158</v>
      </c>
      <c r="M414" s="518">
        <f t="shared" ca="1" si="181"/>
        <v>1462298</v>
      </c>
      <c r="N414" s="518">
        <f t="shared" si="181"/>
        <v>1085711.9700000002</v>
      </c>
      <c r="O414" s="518">
        <f ca="1">IF(L414&gt;0,N414*100/L414,0)</f>
        <v>74.152650875110481</v>
      </c>
      <c r="P414" s="518">
        <f ca="1">IF(M414&gt;0,N414*100/M414,0)</f>
        <v>74.246970863668011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3</v>
      </c>
      <c r="K418" s="534">
        <f t="shared" ca="1" si="183"/>
        <v>300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95560</v>
      </c>
      <c r="M419" s="154">
        <f t="shared" ca="1" si="184"/>
        <v>93700</v>
      </c>
      <c r="N419" s="154">
        <f t="shared" si="184"/>
        <v>93700</v>
      </c>
      <c r="O419" s="154">
        <f t="shared" ref="O419:O424" ca="1" si="185">IF(L419&gt;0,N419*100/L419,0)</f>
        <v>98.053578903306828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95560</v>
      </c>
      <c r="M421" s="45">
        <f t="shared" ca="1" si="187"/>
        <v>93700</v>
      </c>
      <c r="N421" s="45">
        <f t="shared" si="187"/>
        <v>93700</v>
      </c>
      <c r="O421" s="45">
        <f t="shared" ca="1" si="185"/>
        <v>98.053578903306828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95560</v>
      </c>
      <c r="M422" s="38">
        <f t="shared" ca="1" si="188"/>
        <v>93700</v>
      </c>
      <c r="N422" s="38">
        <f t="shared" si="188"/>
        <v>93700</v>
      </c>
      <c r="O422" s="38">
        <f t="shared" ca="1" si="185"/>
        <v>98.053578903306828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IFERROR(__xludf.DUMMYFUNCTION("IMPORTRANGE(""https://docs.google.com/spreadsheets/d/1QqKyyYR6Q21VydFLVH3TRQUabQu_ym0Zz7PgGX0-kHA/edit?usp=sharing"",""แผน!EY67"")"),95560)</f>
        <v>95560</v>
      </c>
      <c r="M424" s="45">
        <f ca="1">L424-1860</f>
        <v>93700</v>
      </c>
      <c r="N424" s="45">
        <f>N425+N426+N427+N428</f>
        <v>93700</v>
      </c>
      <c r="O424" s="45">
        <f t="shared" ca="1" si="185"/>
        <v>98.053578903306828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52138.46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41561.54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0</v>
      </c>
      <c r="K433" s="191">
        <f t="shared" ref="K433:K435" ca="1" si="192">IF(I433&gt;0,J433*100/I433,0)</f>
        <v>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3</v>
      </c>
      <c r="K434" s="191">
        <f t="shared" ca="1" si="192"/>
        <v>300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IFERROR(__xludf.DUMMYFUNCTION("IMPORTRANGE(""https://docs.google.com/spreadsheets/d/1QqKyyYR6Q21VydFLVH3TRQUabQu_ym0Zz7PgGX0-kHA/edit?usp=sharing"",""แผน!FC67"")"),20)</f>
        <v>20</v>
      </c>
      <c r="J435" s="546">
        <v>36</v>
      </c>
      <c r="K435" s="38">
        <f t="shared" ca="1" si="192"/>
        <v>180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IFERROR(__xludf.DUMMYFUNCTION("IMPORTRANGE(""https://docs.google.com/spreadsheets/d/1QqKyyYR6Q21VydFLVH3TRQUabQu_ym0Zz7PgGX0-kHA/edit?usp=sharing"",""แผน!FD67"")"),0)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IFERROR(__xludf.DUMMYFUNCTION("IMPORTRANGE(""https://docs.google.com/spreadsheets/d/1QqKyyYR6Q21VydFLVH3TRQUabQu_ym0Zz7PgGX0-kHA/edit?usp=sharing"",""แผน!FF67"")"),20)</f>
        <v>20</v>
      </c>
      <c r="J439" s="546">
        <v>36</v>
      </c>
      <c r="K439" s="38">
        <f t="shared" ca="1" si="194"/>
        <v>180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IFERROR(__xludf.DUMMYFUNCTION("IMPORTRANGE(""https://docs.google.com/spreadsheets/d/1QqKyyYR6Q21VydFLVH3TRQUabQu_ym0Zz7PgGX0-kHA/edit?usp=sharing"",""แผน!FG67"")"),1)</f>
        <v>1</v>
      </c>
      <c r="J440" s="181">
        <v>3</v>
      </c>
      <c r="K440" s="38">
        <f t="shared" ca="1" si="194"/>
        <v>300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IFERROR(__xludf.DUMMYFUNCTION("IMPORTRANGE(""https://docs.google.com/spreadsheets/d/1QqKyyYR6Q21VydFLVH3TRQUabQu_ym0Zz7PgGX0-kHA/edit?usp=sharing"",""แผน!FJ67"")"),0)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IFERROR(__xludf.DUMMYFUNCTION("IMPORTRANGE(""https://docs.google.com/spreadsheets/d/1QqKyyYR6Q21VydFLVH3TRQUabQu_ym0Zz7PgGX0-kHA/edit?usp=sharing"",""แผน!FN67"")"),0)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IFERROR(__xludf.DUMMYFUNCTION("IMPORTRANGE(""https://docs.google.com/spreadsheets/d/1QqKyyYR6Q21VydFLVH3TRQUabQu_ym0Zz7PgGX0-kHA/edit?usp=sharing"",""แผน!FO67"")"),0)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IFERROR(__xludf.DUMMYFUNCTION("IMPORTRANGE(""https://docs.google.com/spreadsheets/d/1QqKyyYR6Q21VydFLVH3TRQUabQu_ym0Zz7PgGX0-kHA/edit?usp=sharing"",""แผน!FO67"")"),0)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IFERROR(__xludf.DUMMYFUNCTION("IMPORTRANGE(""https://docs.google.com/spreadsheets/d/1QqKyyYR6Q21VydFLVH3TRQUabQu_ym0Zz7PgGX0-kHA/edit?usp=sharing"",""แผน!FN67"")"),0)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IFERROR(__xludf.DUMMYFUNCTION("IMPORTRANGE(""https://docs.google.com/spreadsheets/d/1QqKyyYR6Q21VydFLVH3TRQUabQu_ym0Zz7PgGX0-kHA/edit?usp=sharing"",""แผน!FX67"")"),61)</f>
        <v>61</v>
      </c>
      <c r="J465" s="552">
        <f>J485+J489+J492</f>
        <v>63</v>
      </c>
      <c r="K465" s="553">
        <f t="shared" ref="K465:K466" ca="1" si="205">IF(I465&gt;0,J465*100/I465,0)</f>
        <v>103.27868852459017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IFERROR(__xludf.DUMMYFUNCTION("IMPORTRANGE(""https://docs.google.com/spreadsheets/d/1QqKyyYR6Q21VydFLVH3TRQUabQu_ym0Zz7PgGX0-kHA/edit?usp=sharing"",""แผน!FW67"")"),600)</f>
        <v>600</v>
      </c>
      <c r="J466" s="533">
        <f>J495+J498</f>
        <v>600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486543</v>
      </c>
      <c r="M467" s="191">
        <f t="shared" ca="1" si="206"/>
        <v>486543</v>
      </c>
      <c r="N467" s="191">
        <f t="shared" si="206"/>
        <v>470945.08</v>
      </c>
      <c r="O467" s="191">
        <f t="shared" ref="O467:O472" ca="1" si="207">IF(L467&gt;0,N467*100/L467,0)</f>
        <v>96.794133303736771</v>
      </c>
      <c r="P467" s="191">
        <f t="shared" ref="P467:P472" ca="1" si="208">IF(M467&gt;0,N467*100/M467,0)</f>
        <v>96.794133303736771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486543</v>
      </c>
      <c r="M469" s="45">
        <f t="shared" ca="1" si="209"/>
        <v>486543</v>
      </c>
      <c r="N469" s="45">
        <f t="shared" si="209"/>
        <v>470945.08</v>
      </c>
      <c r="O469" s="45">
        <f t="shared" ca="1" si="207"/>
        <v>96.794133303736771</v>
      </c>
      <c r="P469" s="45">
        <f t="shared" ca="1" si="208"/>
        <v>96.794133303736771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486543</v>
      </c>
      <c r="M470" s="38">
        <f t="shared" ca="1" si="210"/>
        <v>486543</v>
      </c>
      <c r="N470" s="38">
        <f t="shared" si="210"/>
        <v>470945.08</v>
      </c>
      <c r="O470" s="38">
        <f t="shared" ca="1" si="207"/>
        <v>96.794133303736771</v>
      </c>
      <c r="P470" s="38">
        <f t="shared" ca="1" si="208"/>
        <v>96.794133303736771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IFERROR(__xludf.DUMMYFUNCTION("IMPORTRANGE(""https://docs.google.com/spreadsheets/d/1QqKyyYR6Q21VydFLVH3TRQUabQu_ym0Zz7PgGX0-kHA/edit?usp=sharing"",""แผน!FS67"")"),486543)</f>
        <v>486543</v>
      </c>
      <c r="M472" s="45">
        <f ca="1">L472</f>
        <v>486543</v>
      </c>
      <c r="N472" s="45">
        <f>N473+N474+N475+N476</f>
        <v>470945.08</v>
      </c>
      <c r="O472" s="45">
        <f t="shared" ca="1" si="207"/>
        <v>96.794133303736771</v>
      </c>
      <c r="P472" s="45">
        <f t="shared" ca="1" si="208"/>
        <v>96.794133303736771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80093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376000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14852.08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IFERROR(__xludf.DUMMYFUNCTION("IMPORTRANGE(""https://docs.google.com/spreadsheets/d/1QqKyyYR6Q21VydFLVH3TRQUabQu_ym0Zz7PgGX0-kHA/edit?usp=sharing"",""แผน!FY67"")"),540)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56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IFERROR(__xludf.DUMMYFUNCTION("IMPORTRANGE(""https://docs.google.com/spreadsheets/d/1QqKyyYR6Q21VydFLVH3TRQUabQu_ym0Zz7PgGX0-kHA/edit?usp=sharing"",""แผน!FZ67"")"),54)</f>
        <v>54</v>
      </c>
      <c r="J485" s="181">
        <v>56</v>
      </c>
      <c r="K485" s="38">
        <f ca="1">IF(I485&gt;0,J485*100/I485,0)</f>
        <v>103.70370370370371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IFERROR(__xludf.DUMMYFUNCTION("IMPORTRANGE(""https://docs.google.com/spreadsheets/d/1QqKyyYR6Q21VydFLVH3TRQUabQu_ym0Zz7PgGX0-kHA/edit?usp=sharing"",""แผน!GA67"")"),60)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6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IFERROR(__xludf.DUMMYFUNCTION("IMPORTRANGE(""https://docs.google.com/spreadsheets/d/1QqKyyYR6Q21VydFLVH3TRQUabQu_ym0Zz7PgGX0-kHA/edit?usp=sharing"",""แผน!GB67"")"),6)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IFERROR(__xludf.DUMMYFUNCTION("IMPORTRANGE(""https://docs.google.com/spreadsheets/d/1QqKyyYR6Q21VydFLVH3TRQUabQu_ym0Zz7PgGX0-kHA/edit?usp=sharing"",""แผน!FY67"")"),540)</f>
        <v>540</v>
      </c>
      <c r="J495" s="181">
        <v>540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540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IFERROR(__xludf.DUMMYFUNCTION("IMPORTRANGE(""https://docs.google.com/spreadsheets/d/1QqKyyYR6Q21VydFLVH3TRQUabQu_ym0Zz7PgGX0-kHA/edit?usp=sharing"",""แผน!GA67"")"),60)</f>
        <v>60</v>
      </c>
      <c r="J498" s="181">
        <v>60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60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255500</v>
      </c>
      <c r="M544" s="154">
        <f t="shared" ca="1" si="236"/>
        <v>255500</v>
      </c>
      <c r="N544" s="154">
        <f t="shared" si="236"/>
        <v>208228.66</v>
      </c>
      <c r="O544" s="154">
        <f t="shared" ref="O544:O549" ca="1" si="237">IF(L544&gt;0,N544*100/L544,0)</f>
        <v>81.498497064579254</v>
      </c>
      <c r="P544" s="154">
        <f t="shared" ref="P544:P549" ca="1" si="238">IF(M544&gt;0,N544*100/M544,0)</f>
        <v>81.498497064579254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255500</v>
      </c>
      <c r="M546" s="45">
        <f t="shared" ca="1" si="240"/>
        <v>255500</v>
      </c>
      <c r="N546" s="45">
        <f t="shared" si="240"/>
        <v>208228.66</v>
      </c>
      <c r="O546" s="45">
        <f t="shared" ca="1" si="237"/>
        <v>81.498497064579254</v>
      </c>
      <c r="P546" s="45">
        <f t="shared" ca="1" si="238"/>
        <v>81.498497064579254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255500</v>
      </c>
      <c r="M547" s="38">
        <f t="shared" ca="1" si="241"/>
        <v>255500</v>
      </c>
      <c r="N547" s="38">
        <f t="shared" si="241"/>
        <v>208228.66</v>
      </c>
      <c r="O547" s="38">
        <f t="shared" ca="1" si="237"/>
        <v>81.498497064579254</v>
      </c>
      <c r="P547" s="38">
        <f t="shared" ca="1" si="238"/>
        <v>81.498497064579254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IFERROR(__xludf.DUMMYFUNCTION("IMPORTRANGE(""https://docs.google.com/spreadsheets/d/1QqKyyYR6Q21VydFLVH3TRQUabQu_ym0Zz7PgGX0-kHA/edit?usp=sharing"",""แผน!HB67"")"),255500)</f>
        <v>255500</v>
      </c>
      <c r="M549" s="45">
        <f ca="1">L549</f>
        <v>255500</v>
      </c>
      <c r="N549" s="45">
        <f>N550+N551+N552+N553+N554</f>
        <v>208228.66</v>
      </c>
      <c r="O549" s="45">
        <f t="shared" ca="1" si="237"/>
        <v>81.498497064579254</v>
      </c>
      <c r="P549" s="45">
        <f t="shared" ca="1" si="238"/>
        <v>81.498497064579254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104839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103389.66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IFERROR(__xludf.DUMMYFUNCTION("IMPORTRANGE(""https://docs.google.com/spreadsheets/d/1QqKyyYR6Q21VydFLVH3TRQUabQu_ym0Zz7PgGX0-kHA/edit?usp=sharing"",""แผน!HH67"")"),0)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IFERROR(__xludf.DUMMYFUNCTION("IMPORTRANGE(""https://docs.google.com/spreadsheets/d/1QqKyyYR6Q21VydFLVH3TRQUabQu_ym0Zz7PgGX0-kHA/edit?usp=sharing"",""แผน!HG67"")"),0)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IFERROR(__xludf.DUMMYFUNCTION("IMPORTRANGE(""https://docs.google.com/spreadsheets/d/1QqKyyYR6Q21VydFLVH3TRQUabQu_ym0Zz7PgGX0-kHA/edit?usp=sharing"",""แผน!HH67"")"),0)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IFERROR(__xludf.DUMMYFUNCTION("IMPORTRANGE(""https://docs.google.com/spreadsheets/d/1QqKyyYR6Q21VydFLVH3TRQUabQu_ym0Zz7PgGX0-kHA/edit?usp=sharing"",""แผน!HG67"")"),0)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IFERROR(__xludf.DUMMYFUNCTION("IMPORTRANGE(""https://docs.google.com/spreadsheets/d/1QqKyyYR6Q21VydFLVH3TRQUabQu_ym0Zz7PgGX0-kHA/edit?usp=sharing"",""แผน!HH67"")"),0)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IFERROR(__xludf.DUMMYFUNCTION("IMPORTRANGE(""https://docs.google.com/spreadsheets/d/1QqKyyYR6Q21VydFLVH3TRQUabQu_ym0Zz7PgGX0-kHA/edit?usp=sharing"",""แผน!HG67"")"),0)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3492.21</v>
      </c>
      <c r="J592" s="627">
        <f t="shared" si="253"/>
        <v>3255</v>
      </c>
      <c r="K592" s="628">
        <f t="shared" ref="K592:K594" ca="1" si="254">IF(I592&gt;0,J592*100/I592,0)</f>
        <v>93.207453160033324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IFERROR(__xludf.DUMMYFUNCTION("IMPORTRANGE(""https://docs.google.com/spreadsheets/d/1QqKyyYR6Q21VydFLVH3TRQUabQu_ym0Zz7PgGX0-kHA/edit?usp=sharing"",""แผน!HJ67"")"),3492.21)</f>
        <v>3492.21</v>
      </c>
      <c r="J593" s="189">
        <f t="shared" ref="J593:J594" si="255">J595+J603+J609</f>
        <v>3255</v>
      </c>
      <c r="K593" s="390">
        <f t="shared" ca="1" si="254"/>
        <v>93.207453160033324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IFERROR(__xludf.DUMMYFUNCTION("IMPORTRANGE(""https://docs.google.com/spreadsheets/d/1QqKyyYR6Q21VydFLVH3TRQUabQu_ym0Zz7PgGX0-kHA/edit?usp=sharing"",""แผน!HI67"")"),145)</f>
        <v>145</v>
      </c>
      <c r="J594" s="189">
        <f t="shared" si="255"/>
        <v>139</v>
      </c>
      <c r="K594" s="390">
        <f t="shared" ca="1" si="254"/>
        <v>95.862068965517238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2910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125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752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41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2158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84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182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6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345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14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147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6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198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8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IFERROR(__xludf.DUMMYFUNCTION("IMPORTRANGE(""https://docs.google.com/spreadsheets/d/1QqKyyYR6Q21VydFLVH3TRQUabQu_ym0Zz7PgGX0-kHA/edit?usp=sharing"",""แผน!HL67"")"),0)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IFERROR(__xludf.DUMMYFUNCTION("IMPORTRANGE(""https://docs.google.com/spreadsheets/d/1QqKyyYR6Q21VydFLVH3TRQUabQu_ym0Zz7PgGX0-kHA/edit?usp=sharing"",""แผน!HK67"")"),0)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400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619055</v>
      </c>
      <c r="M629" s="191">
        <f t="shared" ca="1" si="263"/>
        <v>619055</v>
      </c>
      <c r="N629" s="191">
        <f t="shared" si="263"/>
        <v>309367.11</v>
      </c>
      <c r="O629" s="191">
        <f t="shared" ref="O629:O634" ca="1" si="264">IF(L629&gt;0,N629*100/L629,0)</f>
        <v>49.974091155067001</v>
      </c>
      <c r="P629" s="191">
        <f t="shared" ref="P629:P634" ca="1" si="265">IF(M629&gt;0,N629*100/M629,0)</f>
        <v>49.974091155067001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619055</v>
      </c>
      <c r="M631" s="45">
        <f t="shared" ca="1" si="266"/>
        <v>619055</v>
      </c>
      <c r="N631" s="45">
        <f t="shared" si="266"/>
        <v>309367.11</v>
      </c>
      <c r="O631" s="45">
        <f t="shared" ca="1" si="264"/>
        <v>49.974091155067001</v>
      </c>
      <c r="P631" s="45">
        <f t="shared" ca="1" si="265"/>
        <v>49.974091155067001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619055</v>
      </c>
      <c r="M632" s="38">
        <f t="shared" ca="1" si="267"/>
        <v>619055</v>
      </c>
      <c r="N632" s="38">
        <f t="shared" si="267"/>
        <v>309367.11</v>
      </c>
      <c r="O632" s="38">
        <f t="shared" ca="1" si="264"/>
        <v>49.974091155067001</v>
      </c>
      <c r="P632" s="38">
        <f t="shared" ca="1" si="265"/>
        <v>49.974091155067001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IFERROR(__xludf.DUMMYFUNCTION("IMPORTRANGE(""https://docs.google.com/spreadsheets/d/1QqKyyYR6Q21VydFLVH3TRQUabQu_ym0Zz7PgGX0-kHA/edit?usp=sharing"",""แผน!HN67"")"),619055)</f>
        <v>619055</v>
      </c>
      <c r="M634" s="45">
        <f ca="1">L634</f>
        <v>619055</v>
      </c>
      <c r="N634" s="45">
        <f>N635+N636+N637+N638</f>
        <v>309367.11</v>
      </c>
      <c r="O634" s="45">
        <f t="shared" ca="1" si="264"/>
        <v>49.974091155067001</v>
      </c>
      <c r="P634" s="45">
        <f t="shared" ca="1" si="265"/>
        <v>49.974091155067001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103133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206234.11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IFERROR(__xludf.DUMMYFUNCTION("IMPORTRANGE(""https://docs.google.com/spreadsheets/d/1QqKyyYR6Q21VydFLVH3TRQUabQu_ym0Zz7PgGX0-kHA/edit?usp=sharing"",""แผน!HR67"")"),7)</f>
        <v>7</v>
      </c>
      <c r="J643" s="181">
        <v>7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IFERROR(__xludf.DUMMYFUNCTION("IMPORTRANGE(""https://docs.google.com/spreadsheets/d/1QqKyyYR6Q21VydFLVH3TRQUabQu_ym0Zz7PgGX0-kHA/edit?usp=sharing"",""แผน!HR67"")"),7)</f>
        <v>7</v>
      </c>
      <c r="J644" s="181">
        <v>6</v>
      </c>
      <c r="K644" s="162">
        <f t="shared" ca="1" si="271"/>
        <v>85.714285714285708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IFERROR(__xludf.DUMMYFUNCTION("IMPORTRANGE(""https://docs.google.com/spreadsheets/d/1XWAQStnk-4SwqDmLtmXYiTMKHgktTP8We1SCoS47DrQ/edit?usp=sharing"",""จัดที่ดิน!AS67"")"),61)</f>
        <v>61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IFERROR(__xludf.DUMMYFUNCTION("IMPORTRANGE(""https://docs.google.com/spreadsheets/d/1XWAQStnk-4SwqDmLtmXYiTMKHgktTP8We1SCoS47DrQ/edit?usp=sharing"",""จัดที่ดิน!AT67"")"),31.65)</f>
        <v>31.65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IFERROR(__xludf.DUMMYFUNCTION("IMPORTRANGE(""https://docs.google.com/spreadsheets/d/1QqKyyYR6Q21VydFLVH3TRQUabQu_ym0Zz7PgGX0-kHA/edit?usp=sharing"",""แผน!HS67"")"),400)</f>
        <v>400</v>
      </c>
      <c r="J647" s="37">
        <f ca="1">IFERROR(__xludf.DUMMYFUNCTION("IMPORTRANGE(""https://docs.google.com/spreadsheets/d/1XWAQStnk-4SwqDmLtmXYiTMKHgktTP8We1SCoS47DrQ/edit?usp=sharing"",""จัดที่ดิน!AU67"")"),56)</f>
        <v>56</v>
      </c>
      <c r="K647" s="162">
        <f t="shared" ca="1" si="271"/>
        <v>14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IFERROR(__xludf.DUMMYFUNCTION("IMPORTRANGE(""https://docs.google.com/spreadsheets/d/1XWAQStnk-4SwqDmLtmXYiTMKHgktTP8We1SCoS47DrQ/edit?usp=sharing"",""จัดที่ดิน!AV67"")"),31.65)</f>
        <v>31.65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IFERROR(__xludf.DUMMYFUNCTION("IMPORTRANGE(""https://docs.google.com/spreadsheets/d/1QqKyyYR6Q21VydFLVH3TRQUabQu_ym0Zz7PgGX0-kHA/edit?usp=sharing"",""แผน!HS67"")"),400)</f>
        <v>400</v>
      </c>
      <c r="J649" s="37">
        <f ca="1">IFERROR(__xludf.DUMMYFUNCTION("IMPORTRANGE(""https://docs.google.com/spreadsheets/d/1XWAQStnk-4SwqDmLtmXYiTMKHgktTP8We1SCoS47DrQ/edit?usp=sharing"",""จัดที่ดิน!AW67"")"),0)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IFERROR(__xludf.DUMMYFUNCTION("IMPORTRANGE(""https://docs.google.com/spreadsheets/d/1XWAQStnk-4SwqDmLtmXYiTMKHgktTP8We1SCoS47DrQ/edit?usp=sharing"",""จัดที่ดิน!AX67"")"),0)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IFERROR(__xludf.DUMMYFUNCTION("IMPORTRANGE(""https://docs.google.com/spreadsheets/d/1QqKyyYR6Q21VydFLVH3TRQUabQu_ym0Zz7PgGX0-kHA/edit?usp=sharing"",""แผน!HS67"")"),400)</f>
        <v>400</v>
      </c>
      <c r="J651" s="37">
        <f ca="1">IFERROR(__xludf.DUMMYFUNCTION("IMPORTRANGE(""https://docs.google.com/spreadsheets/d/1XWAQStnk-4SwqDmLtmXYiTMKHgktTP8We1SCoS47DrQ/edit?usp=sharing"",""จัดที่ดิน!AY67"")"),0)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IFERROR(__xludf.DUMMYFUNCTION("IMPORTRANGE(""https://docs.google.com/spreadsheets/d/1XWAQStnk-4SwqDmLtmXYiTMKHgktTP8We1SCoS47DrQ/edit?usp=sharing"",""จัดที่ดิน!AZ67"")"),0)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IFERROR(__xludf.DUMMYFUNCTION("IMPORTRANGE(""https://docs.google.com/spreadsheets/d/1QqKyyYR6Q21VydFLVH3TRQUabQu_ym0Zz7PgGX0-kHA/edit?usp=sharing"",""แผน!HV67"")"),0)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IFERROR(__xludf.DUMMYFUNCTION("IMPORTRANGE(""https://docs.google.com/spreadsheets/d/1QqKyyYR6Q21VydFLVH3TRQUabQu_ym0Zz7PgGX0-kHA/edit?usp=sharing"",""แผน!IA67"")"),0)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IFERROR(__xludf.DUMMYFUNCTION("IMPORTRANGE(""https://docs.google.com/spreadsheets/d/1QqKyyYR6Q21VydFLVH3TRQUabQu_ym0Zz7PgGX0-kHA/edit?usp=sharing"",""แผน!HZ67"")"),0)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IFERROR(__xludf.DUMMYFUNCTION("IMPORTRANGE(""https://docs.google.com/spreadsheets/d/1QqKyyYR6Q21VydFLVH3TRQUabQu_ym0Zz7PgGX0-kHA/edit?usp=sharing"",""แผน!HZ67"")"),0)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7500</v>
      </c>
      <c r="M685" s="191">
        <f t="shared" ca="1" si="282"/>
        <v>7500</v>
      </c>
      <c r="N685" s="191">
        <f t="shared" si="282"/>
        <v>3471.12</v>
      </c>
      <c r="O685" s="191">
        <f t="shared" ref="O685:O688" ca="1" si="283">IF(L685&gt;0,N685*100/L685,0)</f>
        <v>46.281599999999997</v>
      </c>
      <c r="P685" s="191">
        <f t="shared" ref="P685:P688" ca="1" si="284">IF(M685&gt;0,N685*100/M685,0)</f>
        <v>46.281599999999997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7500</v>
      </c>
      <c r="M687" s="45">
        <f t="shared" ca="1" si="285"/>
        <v>7500</v>
      </c>
      <c r="N687" s="45">
        <f t="shared" si="285"/>
        <v>3471.12</v>
      </c>
      <c r="O687" s="45">
        <f t="shared" ca="1" si="283"/>
        <v>46.281599999999997</v>
      </c>
      <c r="P687" s="45">
        <f t="shared" ca="1" si="284"/>
        <v>46.281599999999997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7500</v>
      </c>
      <c r="M688" s="38">
        <f t="shared" ca="1" si="286"/>
        <v>7500</v>
      </c>
      <c r="N688" s="38">
        <f t="shared" si="286"/>
        <v>3471.12</v>
      </c>
      <c r="O688" s="38">
        <f t="shared" ca="1" si="283"/>
        <v>46.281599999999997</v>
      </c>
      <c r="P688" s="38">
        <f t="shared" ca="1" si="284"/>
        <v>46.281599999999997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IFERROR(__xludf.DUMMYFUNCTION("IMPORTRANGE(""https://docs.google.com/spreadsheets/d/1QqKyyYR6Q21VydFLVH3TRQUabQu_ym0Zz7PgGX0-kHA/edit?usp=sharing"",""แผน!HW67"")"),7500)</f>
        <v>7500</v>
      </c>
      <c r="M690" s="45">
        <f ca="1">L690</f>
        <v>7500</v>
      </c>
      <c r="N690" s="45">
        <f>N691+N692+N693+N694</f>
        <v>3471.12</v>
      </c>
      <c r="O690" s="45">
        <f ca="1">IF(L690&gt;0,N690*100/L690,0)</f>
        <v>46.281599999999997</v>
      </c>
      <c r="P690" s="45">
        <f ca="1">IF(M690&gt;0,N690*100/M690,0)</f>
        <v>46.281599999999997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3471.12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IFERROR(__xludf.DUMMYFUNCTION("IMPORTRANGE(""https://docs.google.com/spreadsheets/d/1QqKyyYR6Q21VydFLVH3TRQUabQu_ym0Zz7PgGX0-kHA/edit?usp=sharing"",""แผน!IC67"")"),50)</f>
        <v>50</v>
      </c>
      <c r="J699" s="37">
        <f ca="1">IFERROR(__xludf.DUMMYFUNCTION("IMPORTRANGE(""https://docs.google.com/spreadsheets/d/1XWAQStnk-4SwqDmLtmXYiTMKHgktTP8We1SCoS47DrQ/edit?usp=sharing"",""จัดที่ดิน!BB67"")"),0)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IFERROR(__xludf.DUMMYFUNCTION("IMPORTRANGE(""https://docs.google.com/spreadsheets/d/1QqKyyYR6Q21VydFLVH3TRQUabQu_ym0Zz7PgGX0-kHA/edit?usp=sharing"",""แผน!ID67"")"),2)</f>
        <v>2</v>
      </c>
      <c r="J700" s="37">
        <f ca="1">IFERROR(__xludf.DUMMYFUNCTION("IMPORTRANGE(""https://docs.google.com/spreadsheets/d/1XWAQStnk-4SwqDmLtmXYiTMKHgktTP8We1SCoS47DrQ/edit?usp=sharing"",""จัดที่ดิน!BD67"")"),0)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IFERROR(__xludf.DUMMYFUNCTION("IMPORTRANGE(""https://docs.google.com/spreadsheets/d/1QqKyyYR6Q21VydFLVH3TRQUabQu_ym0Zz7PgGX0-kHA/edit?usp=sharing"",""แผน!IE67"")"),12)</f>
        <v>12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IFERROR(__xludf.DUMMYFUNCTION("IMPORTRANGE(""https://docs.google.com/spreadsheets/d/1QqKyyYR6Q21VydFLVH3TRQUabQu_ym0Zz7PgGX0-kHA/edit?usp=sharing"",""แผน!IF67"")"),12)</f>
        <v>12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IFERROR(__xludf.DUMMYFUNCTION("IMPORTRANGE(""https://docs.google.com/spreadsheets/d/1QqKyyYR6Q21VydFLVH3TRQUabQu_ym0Zz7PgGX0-kHA/edit?usp=sharing"",""แผน!IG67"")"),0)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IFERROR(__xludf.DUMMYFUNCTION("IMPORTRANGE(""https://docs.google.com/spreadsheets/d/1XWAQStnk-4SwqDmLtmXYiTMKHgktTP8We1SCoS47DrQ/edit?usp=sharing"",""จัดที่ดิน!BF67"")"),0)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IFERROR(__xludf.DUMMYFUNCTION("IMPORTRANGE(""https://docs.google.com/spreadsheets/d/1XWAQStnk-4SwqDmLtmXYiTMKHgktTP8We1SCoS47DrQ/edit?usp=sharing"",""จัดที่ดิน!BG67"")"),0)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IFERROR(__xludf.DUMMYFUNCTION("IMPORTRANGE(""https://docs.google.com/spreadsheets/d/1QqKyyYR6Q21VydFLVH3TRQUabQu_ym0Zz7PgGX0-kHA/edit?usp=sharing"",""แผน!II67"")"),30)</f>
        <v>30</v>
      </c>
      <c r="J720" s="37">
        <f ca="1">IFERROR(__xludf.DUMMYFUNCTION("IMPORTRANGE(""https://docs.google.com/spreadsheets/d/1XWAQStnk-4SwqDmLtmXYiTMKHgktTP8We1SCoS47DrQ/edit?usp=sharing"",""จัดที่ดิน!BH67"")"),0)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IFERROR(__xludf.DUMMYFUNCTION("IMPORTRANGE(""https://docs.google.com/spreadsheets/d/1QqKyyYR6Q21VydFLVH3TRQUabQu_ym0Zz7PgGX0-kHA/edit?usp=sharing"",""แผน!IJ67"")"),1)</f>
        <v>1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IFERROR(__xludf.DUMMYFUNCTION("IMPORTRANGE(""https://docs.google.com/spreadsheets/d/1QqKyyYR6Q21VydFLVH3TRQUabQu_ym0Zz7PgGX0-kHA/edit?usp=sharing"",""แผน!IK67"")"),10)</f>
        <v>10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IFERROR(__xludf.DUMMYFUNCTION("IMPORTRANGE(""https://docs.google.com/spreadsheets/d/1QqKyyYR6Q21VydFLVH3TRQUabQu_ym0Zz7PgGX0-kHA/edit?usp=sharing"",""แผน!IL67"")"),1)</f>
        <v>1</v>
      </c>
      <c r="J723" s="37">
        <f ca="1">IFERROR(__xludf.DUMMYFUNCTION("IMPORTRANGE(""https://docs.google.com/spreadsheets/d/1XWAQStnk-4SwqDmLtmXYiTMKHgktTP8We1SCoS47DrQ/edit?usp=sharing"",""จัดที่ดิน!BM67"")"),0)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IFERROR(__xludf.DUMMYFUNCTION("IMPORTRANGE(""https://docs.google.com/spreadsheets/d/1XWAQStnk-4SwqDmLtmXYiTMKHgktTP8We1SCoS47DrQ/edit?usp=sharing"",""จัดที่ดิน!BN67"")"),0)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IFERROR(__xludf.DUMMYFUNCTION("IMPORTRANGE(""https://docs.google.com/spreadsheets/d/1QqKyyYR6Q21VydFLVH3TRQUabQu_ym0Zz7PgGX0-kHA/edit?usp=sharing"",""แผน!IM67"")"),10)</f>
        <v>10</v>
      </c>
      <c r="J725" s="37">
        <f ca="1">IFERROR(__xludf.DUMMYFUNCTION("IMPORTRANGE(""https://docs.google.com/spreadsheets/d/1XWAQStnk-4SwqDmLtmXYiTMKHgktTP8We1SCoS47DrQ/edit?usp=sharing"",""จัดที่ดิน!BO67"")"),0)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IFERROR(__xludf.DUMMYFUNCTION("IMPORTRANGE(""https://docs.google.com/spreadsheets/d/1QqKyyYR6Q21VydFLVH3TRQUabQu_ym0Zz7PgGX0-kHA/edit?usp=sharing"",""แผน!IN67"")"),0)</f>
        <v>0</v>
      </c>
      <c r="J726" s="37">
        <f ca="1">IFERROR(__xludf.DUMMYFUNCTION("IMPORTRANGE(""https://docs.google.com/spreadsheets/d/1XWAQStnk-4SwqDmLtmXYiTMKHgktTP8We1SCoS47DrQ/edit?usp=sharing"",""จัดที่ดิน!BR67"")"),0)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IFERROR(__xludf.DUMMYFUNCTION("IMPORTRANGE(""https://docs.google.com/spreadsheets/d/1XWAQStnk-4SwqDmLtmXYiTMKHgktTP8We1SCoS47DrQ/edit?usp=sharing"",""จัดที่ดิน!BS67"")"),0)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IFERROR(__xludf.DUMMYFUNCTION("IMPORTRANGE(""https://docs.google.com/spreadsheets/d/1QqKyyYR6Q21VydFLVH3TRQUabQu_ym0Zz7PgGX0-kHA/edit?usp=sharing"",""แผน!IO67"")"),0)</f>
        <v>0</v>
      </c>
      <c r="J728" s="37">
        <f ca="1">IFERROR(__xludf.DUMMYFUNCTION("IMPORTRANGE(""https://docs.google.com/spreadsheets/d/1XWAQStnk-4SwqDmLtmXYiTMKHgktTP8We1SCoS47DrQ/edit?usp=sharing"",""จัดที่ดิน!BT67"")"),0)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IFERROR(__xludf.DUMMYFUNCTION("IMPORTRANGE(""https://docs.google.com/spreadsheets/d/1QqKyyYR6Q21VydFLVH3TRQUabQu_ym0Zz7PgGX0-kHA/edit?usp=sharing"",""แผน!IP67"")"),0)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IFERROR(__xludf.DUMMYFUNCTION("IMPORTRANGE(""https://docs.google.com/spreadsheets/d/1QqKyyYR6Q21VydFLVH3TRQUabQu_ym0Zz7PgGX0-kHA/edit?usp=sharing"",""แผน!JN67"")"),0)</f>
        <v>0</v>
      </c>
      <c r="J800" s="161">
        <f ca="1">IFERROR(__xludf.DUMMYFUNCTION("IMPORTRANGE(""https://docs.google.com/spreadsheets/d/1MaWodYyGHDf7siQLGxnXhG4mBNTNIuy296niS2xXulU/edit?usp=sharing"",""RTK!H67"")"),0)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IFERROR(__xludf.DUMMYFUNCTION("IMPORTRANGE(""https://docs.google.com/spreadsheets/d/1MaWodYyGHDf7siQLGxnXhG4mBNTNIuy296niS2xXulU/edit?usp=sharing"",""RTK!I67"")"),0)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37">
        <f ca="1">IFERROR(__xludf.DUMMYFUNCTION("IMPORTRANGE(""https://docs.google.com/spreadsheets/d/19vJNZY_5yjcGF2XGBMNZRCAIB0Kwfpjp8YEOfu-bneM/edit?usp=sharing"",""งานกองทุน!F67"")"),1213666.64)</f>
        <v>1213666.6399999999</v>
      </c>
      <c r="K821" s="38">
        <f t="shared" ref="K821:K828" ca="1" si="335">IF(I821&gt;0,J821*100/I821,0)</f>
        <v>76.678491855041301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IFERROR(__xludf.DUMMYFUNCTION("IMPORTRANGE(""https://docs.google.com/spreadsheets/d/19vJNZY_5yjcGF2XGBMNZRCAIB0Kwfpjp8YEOfu-bneM/edit?usp=sharing"",""งานกองทุน!C67"")"),106)</f>
        <v>106</v>
      </c>
      <c r="J822" s="37">
        <f ca="1">IFERROR(__xludf.DUMMYFUNCTION("IMPORTRANGE(""https://docs.google.com/spreadsheets/d/19vJNZY_5yjcGF2XGBMNZRCAIB0Kwfpjp8YEOfu-bneM/edit?usp=sharing"",""งานกองทุน!E67"")"),85)</f>
        <v>85</v>
      </c>
      <c r="K822" s="38">
        <f t="shared" ca="1" si="335"/>
        <v>80.188679245283012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37">
        <f ca="1">IFERROR(__xludf.DUMMYFUNCTION("IMPORTRANGE(""https://docs.google.com/spreadsheets/d/19vJNZY_5yjcGF2XGBMNZRCAIB0Kwfpjp8YEOfu-bneM/edit?usp=sharing"",""งานกองทุน!K67"")"),801366.48)</f>
        <v>801366.48</v>
      </c>
      <c r="K823" s="38">
        <f t="shared" ca="1" si="335"/>
        <v>21.908387408041275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IFERROR(__xludf.DUMMYFUNCTION("IMPORTRANGE(""https://docs.google.com/spreadsheets/d/19vJNZY_5yjcGF2XGBMNZRCAIB0Kwfpjp8YEOfu-bneM/edit?usp=sharing"",""งานกองทุน!H67"")"),184)</f>
        <v>184</v>
      </c>
      <c r="J824" s="37">
        <f ca="1">IFERROR(__xludf.DUMMYFUNCTION("IMPORTRANGE(""https://docs.google.com/spreadsheets/d/19vJNZY_5yjcGF2XGBMNZRCAIB0Kwfpjp8YEOfu-bneM/edit?usp=sharing"",""งานกองทุน!J67"")"),108)</f>
        <v>108</v>
      </c>
      <c r="K824" s="38">
        <f t="shared" ca="1" si="335"/>
        <v>58.695652173913047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37">
        <f ca="1">IFERROR(__xludf.DUMMYFUNCTION("IMPORTRANGE(""https://docs.google.com/spreadsheets/d/19vJNZY_5yjcGF2XGBMNZRCAIB0Kwfpjp8YEOfu-bneM/edit?usp=sharing"",""งานกองทุน!P67"")"),50464.96)</f>
        <v>50464.959999999999</v>
      </c>
      <c r="K825" s="38">
        <f t="shared" ca="1" si="335"/>
        <v>39.930439560387391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IFERROR(__xludf.DUMMYFUNCTION("IMPORTRANGE(""https://docs.google.com/spreadsheets/d/19vJNZY_5yjcGF2XGBMNZRCAIB0Kwfpjp8YEOfu-bneM/edit?usp=sharing"",""งานกองทุน!M67"")"),12)</f>
        <v>12</v>
      </c>
      <c r="J826" s="37">
        <f ca="1">IFERROR(__xludf.DUMMYFUNCTION("IMPORTRANGE(""https://docs.google.com/spreadsheets/d/19vJNZY_5yjcGF2XGBMNZRCAIB0Kwfpjp8YEOfu-bneM/edit?usp=sharing"",""งานกองทุน!O67"")"),8)</f>
        <v>8</v>
      </c>
      <c r="K826" s="38">
        <f t="shared" ca="1" si="335"/>
        <v>66.666666666666671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IFERROR(__xludf.DUMMYFUNCTION("IMPORTRANGE(""https://docs.google.com/spreadsheets/d/19vJNZY_5yjcGF2XGBMNZRCAIB0Kwfpjp8YEOfu-bneM/edit?usp=sharing"",""งานกองทุน!S67"")"),2580000)</f>
        <v>2580000</v>
      </c>
      <c r="J827" s="37">
        <f ca="1">IFERROR(__xludf.DUMMYFUNCTION("IMPORTRANGE(""https://docs.google.com/spreadsheets/d/19vJNZY_5yjcGF2XGBMNZRCAIB0Kwfpjp8YEOfu-bneM/edit?usp=sharing"",""งานกองทุน!U67"")"),1460000)</f>
        <v>1460000</v>
      </c>
      <c r="K827" s="38">
        <f t="shared" ca="1" si="335"/>
        <v>56.589147286821706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IFERROR(__xludf.DUMMYFUNCTION("IMPORTRANGE(""https://docs.google.com/spreadsheets/d/19vJNZY_5yjcGF2XGBMNZRCAIB0Kwfpjp8YEOfu-bneM/edit?usp=sharing"",""งานกองทุน!R67"")"),103)</f>
        <v>103</v>
      </c>
      <c r="J828" s="365">
        <f ca="1">IFERROR(__xludf.DUMMYFUNCTION("IMPORTRANGE(""https://docs.google.com/spreadsheets/d/19vJNZY_5yjcGF2XGBMNZRCAIB0Kwfpjp8YEOfu-bneM/edit?usp=sharing"",""งานกองทุน!T67"")"),46)</f>
        <v>46</v>
      </c>
      <c r="K828" s="472">
        <f t="shared" ca="1" si="335"/>
        <v>44.660194174757279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2EDB-EE49-4931-826C-C2E603A2AAA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355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7870300</v>
      </c>
      <c r="N8" s="22">
        <f t="shared" ca="1" si="0"/>
        <v>5546936.7699999996</v>
      </c>
      <c r="O8" s="22">
        <f t="shared" ref="O8:O16" ca="1" si="1">IF(L8&gt;0,N8*100/L8,0)</f>
        <v>71.449470466700333</v>
      </c>
      <c r="P8" s="22">
        <f t="shared" ref="P8:P16" ca="1" si="2">IF(M8&gt;0,N8*100/M8,0)</f>
        <v>70.479356187184734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7870300</v>
      </c>
      <c r="N10" s="30">
        <f t="shared" ca="1" si="3"/>
        <v>5546936.7699999996</v>
      </c>
      <c r="O10" s="30">
        <f t="shared" ca="1" si="1"/>
        <v>71.449470466700333</v>
      </c>
      <c r="P10" s="30">
        <f t="shared" ca="1" si="2"/>
        <v>70.479356187184734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7710640</v>
      </c>
      <c r="M11" s="38">
        <f t="shared" ca="1" si="4"/>
        <v>7817500</v>
      </c>
      <c r="N11" s="38">
        <f t="shared" ca="1" si="4"/>
        <v>5494136.7699999996</v>
      </c>
      <c r="O11" s="38">
        <f t="shared" ca="1" si="1"/>
        <v>71.253965559279123</v>
      </c>
      <c r="P11" s="38">
        <f t="shared" ca="1" si="2"/>
        <v>70.27997147425647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7710640</v>
      </c>
      <c r="M13" s="45">
        <f t="shared" ca="1" si="5"/>
        <v>7817500</v>
      </c>
      <c r="N13" s="45">
        <f t="shared" ca="1" si="5"/>
        <v>5494136.7699999996</v>
      </c>
      <c r="O13" s="45">
        <f t="shared" ca="1" si="1"/>
        <v>71.253965559279123</v>
      </c>
      <c r="P13" s="45">
        <f t="shared" ca="1" si="2"/>
        <v>70.27997147425647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52800</v>
      </c>
      <c r="M14" s="38">
        <f t="shared" ca="1" si="6"/>
        <v>52800</v>
      </c>
      <c r="N14" s="38">
        <f t="shared" ca="1" si="6"/>
        <v>52800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5340160</v>
      </c>
      <c r="N18" s="22">
        <f t="shared" ca="1" si="8"/>
        <v>4320706.7699999996</v>
      </c>
      <c r="O18" s="22">
        <f t="shared" ref="O18:O26" ca="1" si="9">IF(L18&gt;0,N18*100/L18,0)</f>
        <v>82.689787376559735</v>
      </c>
      <c r="P18" s="22">
        <f t="shared" ref="P18:P26" ca="1" si="10">IF(M18&gt;0,N18*100/M18,0)</f>
        <v>80.909687537452044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5340160</v>
      </c>
      <c r="N20" s="30">
        <f t="shared" ca="1" si="11"/>
        <v>4320706.7699999996</v>
      </c>
      <c r="O20" s="30">
        <f t="shared" ca="1" si="9"/>
        <v>82.689787376559735</v>
      </c>
      <c r="P20" s="30">
        <f t="shared" ca="1" si="10"/>
        <v>80.909687537452044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5172400</v>
      </c>
      <c r="M21" s="38">
        <f t="shared" ca="1" si="12"/>
        <v>5287360</v>
      </c>
      <c r="N21" s="38">
        <f t="shared" ca="1" si="12"/>
        <v>4267906.7699999996</v>
      </c>
      <c r="O21" s="38">
        <f t="shared" ca="1" si="9"/>
        <v>82.513084254891339</v>
      </c>
      <c r="P21" s="38">
        <f t="shared" ca="1" si="10"/>
        <v>80.719050149791187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5172400</v>
      </c>
      <c r="M23" s="45">
        <f t="shared" ca="1" si="13"/>
        <v>5287360</v>
      </c>
      <c r="N23" s="45">
        <f t="shared" ca="1" si="13"/>
        <v>4267906.7699999996</v>
      </c>
      <c r="O23" s="45">
        <f t="shared" ca="1" si="9"/>
        <v>82.513084254891339</v>
      </c>
      <c r="P23" s="45">
        <f t="shared" ca="1" si="10"/>
        <v>80.719050149791187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52800</v>
      </c>
      <c r="M24" s="38">
        <f t="shared" ca="1" si="14"/>
        <v>52800</v>
      </c>
      <c r="N24" s="38">
        <f t="shared" ca="1" si="14"/>
        <v>52800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1226230</v>
      </c>
      <c r="O28" s="22">
        <f t="shared" ref="O28:O37" ca="1" si="17">IF(L28&gt;0,N28*100/L28,0)</f>
        <v>48.310246469994958</v>
      </c>
      <c r="P28" s="22">
        <f t="shared" ref="P28:P37" ca="1" si="18">IF(M28&gt;0,N28*100/M28,0)</f>
        <v>48.464907080240621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1226230</v>
      </c>
      <c r="O30" s="30">
        <f t="shared" ca="1" si="17"/>
        <v>48.310246469994958</v>
      </c>
      <c r="P30" s="30">
        <f t="shared" ca="1" si="18"/>
        <v>48.464907080240621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2538240</v>
      </c>
      <c r="M31" s="38">
        <f t="shared" ca="1" si="20"/>
        <v>2530140</v>
      </c>
      <c r="N31" s="38">
        <f t="shared" si="20"/>
        <v>1226230</v>
      </c>
      <c r="O31" s="38">
        <f t="shared" ca="1" si="17"/>
        <v>48.310246469994958</v>
      </c>
      <c r="P31" s="38">
        <f t="shared" ca="1" si="18"/>
        <v>48.464907080240621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2538240</v>
      </c>
      <c r="M33" s="45">
        <f t="shared" ca="1" si="21"/>
        <v>2530140</v>
      </c>
      <c r="N33" s="45">
        <f t="shared" si="21"/>
        <v>1226230</v>
      </c>
      <c r="O33" s="45">
        <f t="shared" ca="1" si="17"/>
        <v>48.310246469994958</v>
      </c>
      <c r="P33" s="45">
        <f t="shared" ca="1" si="18"/>
        <v>48.464907080240621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5340160</v>
      </c>
      <c r="N37" s="59">
        <f t="shared" ca="1" si="24"/>
        <v>4320706.7699999996</v>
      </c>
      <c r="O37" s="59">
        <f t="shared" ca="1" si="17"/>
        <v>82.689787376559735</v>
      </c>
      <c r="P37" s="59">
        <f t="shared" ca="1" si="18"/>
        <v>80.909687537452044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671720</v>
      </c>
      <c r="N41" s="85">
        <f t="shared" ca="1" si="25"/>
        <v>570078</v>
      </c>
      <c r="O41" s="85">
        <f t="shared" ref="O41:O49" ca="1" si="26">IF(L41&gt;0,N41*100/L41,0)</f>
        <v>86.703878326996204</v>
      </c>
      <c r="P41" s="85">
        <f t="shared" ref="P41:P49" ca="1" si="27">IF(M41&gt;0,N41*100/M41,0)</f>
        <v>84.868397546596796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671720</v>
      </c>
      <c r="N43" s="92">
        <f t="shared" ca="1" si="28"/>
        <v>570078</v>
      </c>
      <c r="O43" s="92">
        <f t="shared" ca="1" si="26"/>
        <v>86.703878326996204</v>
      </c>
      <c r="P43" s="92">
        <f t="shared" ca="1" si="27"/>
        <v>84.868397546596796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657500</v>
      </c>
      <c r="M44" s="38">
        <f t="shared" ca="1" si="29"/>
        <v>671720</v>
      </c>
      <c r="N44" s="38">
        <f t="shared" ca="1" si="29"/>
        <v>570078</v>
      </c>
      <c r="O44" s="38">
        <f t="shared" ca="1" si="26"/>
        <v>86.703878326996204</v>
      </c>
      <c r="P44" s="38">
        <f t="shared" ca="1" si="27"/>
        <v>84.868397546596796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IFERROR(__xludf.DUMMYFUNCTION("IMPORTRANGE(""https://docs.google.com/spreadsheets/d/1MeEWN-I1oV_STSDYn1IFDPWt_1FKiwhDph83XaGc0o0/edit?usp=sharing"",""งบพรบ!M68"")"),657500)</f>
        <v>657500</v>
      </c>
      <c r="M46" s="45">
        <f ca="1">IFERROR(__xludf.DUMMYFUNCTION("IMPORTRANGE(""https://docs.google.com/spreadsheets/d/1MeEWN-I1oV_STSDYn1IFDPWt_1FKiwhDph83XaGc0o0/edit?usp=sharing"",""งบพรบ!R68"")"),671720)</f>
        <v>671720</v>
      </c>
      <c r="N46" s="45">
        <f ca="1">IFERROR(__xludf.DUMMYFUNCTION("IMPORTRANGE(""https://docs.google.com/spreadsheets/d/1MeEWN-I1oV_STSDYn1IFDPWt_1FKiwhDph83XaGc0o0/edit?usp=sharing"",""งบพรบ!T68"")"),570078)</f>
        <v>570078</v>
      </c>
      <c r="O46" s="45">
        <f t="shared" ca="1" si="26"/>
        <v>86.703878326996204</v>
      </c>
      <c r="P46" s="45">
        <f t="shared" ca="1" si="27"/>
        <v>84.868397546596796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805700</v>
      </c>
      <c r="M53" s="115">
        <f t="shared" ca="1" si="31"/>
        <v>808600</v>
      </c>
      <c r="N53" s="115">
        <f t="shared" ca="1" si="31"/>
        <v>769100.78</v>
      </c>
      <c r="O53" s="115">
        <f t="shared" ref="O53:O61" ca="1" si="32">IF(L53&gt;0,N53*100/L53,0)</f>
        <v>95.457463075586446</v>
      </c>
      <c r="P53" s="115">
        <f t="shared" ref="P53:P61" ca="1" si="33">IF(M53&gt;0,N53*100/M53,0)</f>
        <v>95.115110066782094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805700</v>
      </c>
      <c r="M55" s="122">
        <f t="shared" ca="1" si="34"/>
        <v>808600</v>
      </c>
      <c r="N55" s="122">
        <f t="shared" ca="1" si="34"/>
        <v>769100.78</v>
      </c>
      <c r="O55" s="122">
        <f t="shared" ca="1" si="32"/>
        <v>95.457463075586446</v>
      </c>
      <c r="P55" s="122">
        <f t="shared" ca="1" si="33"/>
        <v>95.115110066782094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805700</v>
      </c>
      <c r="M56" s="38">
        <f t="shared" ca="1" si="35"/>
        <v>808600</v>
      </c>
      <c r="N56" s="38">
        <f t="shared" ca="1" si="35"/>
        <v>769100.78</v>
      </c>
      <c r="O56" s="38">
        <f t="shared" ca="1" si="32"/>
        <v>95.457463075586446</v>
      </c>
      <c r="P56" s="38">
        <f t="shared" ca="1" si="33"/>
        <v>95.115110066782094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IFERROR(__xludf.DUMMYFUNCTION("IMPORTRANGE(""https://docs.google.com/spreadsheets/d/1MeEWN-I1oV_STSDYn1IFDPWt_1FKiwhDph83XaGc0o0/edit?usp=sharing"",""งบพรบ!W68"")"),805700)</f>
        <v>805700</v>
      </c>
      <c r="M58" s="45">
        <f ca="1">IFERROR(__xludf.DUMMYFUNCTION("IMPORTRANGE(""https://docs.google.com/spreadsheets/d/1MeEWN-I1oV_STSDYn1IFDPWt_1FKiwhDph83XaGc0o0/edit?usp=sharing"",""งบพรบ!AB68"")"),808600)</f>
        <v>808600</v>
      </c>
      <c r="N58" s="45">
        <f ca="1">IFERROR(__xludf.DUMMYFUNCTION("IMPORTRANGE(""https://docs.google.com/spreadsheets/d/1MeEWN-I1oV_STSDYn1IFDPWt_1FKiwhDph83XaGc0o0/edit?usp=sharing"",""งบพรบ!AD68"")"),769100.78)</f>
        <v>769100.78</v>
      </c>
      <c r="O58" s="45">
        <f t="shared" ca="1" si="32"/>
        <v>95.457463075586446</v>
      </c>
      <c r="P58" s="45">
        <f t="shared" ca="1" si="33"/>
        <v>95.115110066782094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180</v>
      </c>
      <c r="J65" s="143">
        <f t="shared" si="37"/>
        <v>180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1972000</v>
      </c>
      <c r="M66" s="154">
        <f t="shared" ca="1" si="39"/>
        <v>1982340</v>
      </c>
      <c r="N66" s="154">
        <f t="shared" ca="1" si="39"/>
        <v>1567487.99</v>
      </c>
      <c r="O66" s="154">
        <f t="shared" ref="O66:O74" ca="1" si="40">IF(L66&gt;0,N66*100/L66,0)</f>
        <v>79.487220588235289</v>
      </c>
      <c r="P66" s="154">
        <f t="shared" ref="P66:P74" ca="1" si="41">IF(M66&gt;0,N66*100/M66,0)</f>
        <v>79.072610652057662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1972000</v>
      </c>
      <c r="M68" s="45">
        <f t="shared" ca="1" si="42"/>
        <v>1982340</v>
      </c>
      <c r="N68" s="45">
        <f t="shared" ca="1" si="42"/>
        <v>1567487.99</v>
      </c>
      <c r="O68" s="45">
        <f t="shared" ca="1" si="40"/>
        <v>79.487220588235289</v>
      </c>
      <c r="P68" s="45">
        <f t="shared" ca="1" si="41"/>
        <v>79.072610652057662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1972000</v>
      </c>
      <c r="M69" s="38">
        <f t="shared" ca="1" si="43"/>
        <v>1982340</v>
      </c>
      <c r="N69" s="38">
        <f t="shared" ca="1" si="43"/>
        <v>1567487.99</v>
      </c>
      <c r="O69" s="38">
        <f t="shared" ca="1" si="40"/>
        <v>79.487220588235289</v>
      </c>
      <c r="P69" s="38">
        <f t="shared" ca="1" si="41"/>
        <v>79.072610652057662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IFERROR(__xludf.DUMMYFUNCTION("IMPORTRANGE(""https://docs.google.com/spreadsheets/d/1MeEWN-I1oV_STSDYn1IFDPWt_1FKiwhDph83XaGc0o0/edit?usp=sharing"",""งบพรบ!AG68"")"),1972000)</f>
        <v>1972000</v>
      </c>
      <c r="M71" s="45">
        <f ca="1">IFERROR(__xludf.DUMMYFUNCTION("IMPORTRANGE(""https://docs.google.com/spreadsheets/d/1MeEWN-I1oV_STSDYn1IFDPWt_1FKiwhDph83XaGc0o0/edit?usp=sharing"",""งบพรบ!AL68"")"),1982340)</f>
        <v>1982340</v>
      </c>
      <c r="N71" s="45">
        <f ca="1">IFERROR(__xludf.DUMMYFUNCTION("IMPORTRANGE(""https://docs.google.com/spreadsheets/d/1MeEWN-I1oV_STSDYn1IFDPWt_1FKiwhDph83XaGc0o0/edit?usp=sharing"",""งบพรบ!AN68"")"),1567487.99)</f>
        <v>1567487.99</v>
      </c>
      <c r="O71" s="45">
        <f t="shared" ca="1" si="40"/>
        <v>79.487220588235289</v>
      </c>
      <c r="P71" s="45">
        <f t="shared" ca="1" si="41"/>
        <v>79.072610652057662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IFERROR(__xludf.DUMMYFUNCTION("IMPORTRANGE(""https://docs.google.com/spreadsheets/d/1MeEWN-I1oV_STSDYn1IFDPWt_1FKiwhDph83XaGc0o0/edit?usp=sharing"",""งบพรบ!AJ68"")"),0)</f>
        <v>0</v>
      </c>
      <c r="M74" s="45">
        <f ca="1">IFERROR(__xludf.DUMMYFUNCTION("IMPORTRANGE(""https://docs.google.com/spreadsheets/d/1MeEWN-I1oV_STSDYn1IFDPWt_1FKiwhDph83XaGc0o0/edit?usp=sharing"",""งบพรบ!AM68"")"),0)</f>
        <v>0</v>
      </c>
      <c r="N74" s="45">
        <f ca="1">IFERROR(__xludf.DUMMYFUNCTION("IMPORTRANGE(""https://docs.google.com/spreadsheets/d/1MeEWN-I1oV_STSDYn1IFDPWt_1FKiwhDph83XaGc0o0/edit?usp=sharing"",""งบพรบ!AO68"")"),0)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180</v>
      </c>
      <c r="J77" s="37">
        <f t="shared" si="45"/>
        <v>180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IFERROR(__xludf.DUMMYFUNCTION("IMPORTRANGE(""https://docs.google.com/spreadsheets/d/1QqKyyYR6Q21VydFLVH3TRQUabQu_ym0Zz7PgGX0-kHA/edit?usp=sharing"",""แผน!F68"")"),1)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IFERROR(__xludf.DUMMYFUNCTION("IMPORTRANGE(""https://docs.google.com/spreadsheets/d/1QqKyyYR6Q21VydFLVH3TRQUabQu_ym0Zz7PgGX0-kHA/edit?usp=sharing"",""แผน!G68"")"),80)</f>
        <v>80</v>
      </c>
      <c r="J81" s="181">
        <v>80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IFERROR(__xludf.DUMMYFUNCTION("IMPORTRANGE(""https://docs.google.com/spreadsheets/d/1QqKyyYR6Q21VydFLVH3TRQUabQu_ym0Zz7PgGX0-kHA/edit?usp=sharing"",""แผน!D68"")"),1)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IFERROR(__xludf.DUMMYFUNCTION("IMPORTRANGE(""https://docs.google.com/spreadsheets/d/1QqKyyYR6Q21VydFLVH3TRQUabQu_ym0Zz7PgGX0-kHA/edit?usp=sharing"",""แผน!E68"")"),100)</f>
        <v>100</v>
      </c>
      <c r="J83" s="181">
        <v>100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IFERROR(__xludf.DUMMYFUNCTION("IMPORTRANGE(""https://docs.google.com/spreadsheets/d/1QqKyyYR6Q21VydFLVH3TRQUabQu_ym0Zz7PgGX0-kHA/edit?usp=sharing"",""แผน!J68"")"),2)</f>
        <v>2</v>
      </c>
      <c r="J84" s="181">
        <v>2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384460</v>
      </c>
      <c r="M88" s="154">
        <f t="shared" ca="1" si="49"/>
        <v>384460</v>
      </c>
      <c r="N88" s="154">
        <f t="shared" ca="1" si="49"/>
        <v>303956</v>
      </c>
      <c r="O88" s="154">
        <f t="shared" ref="O88:O96" ca="1" si="50">IF(L88&gt;0,N88*100/L88,0)</f>
        <v>79.060500442178636</v>
      </c>
      <c r="P88" s="154">
        <f t="shared" ref="P88:P96" ca="1" si="51">IF(M88&gt;0,N88*100/M88,0)</f>
        <v>79.060500442178636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384460</v>
      </c>
      <c r="M90" s="45">
        <f t="shared" ca="1" si="52"/>
        <v>384460</v>
      </c>
      <c r="N90" s="45">
        <f t="shared" ca="1" si="52"/>
        <v>303956</v>
      </c>
      <c r="O90" s="45">
        <f t="shared" ca="1" si="50"/>
        <v>79.060500442178636</v>
      </c>
      <c r="P90" s="45">
        <f t="shared" ca="1" si="51"/>
        <v>79.060500442178636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384460</v>
      </c>
      <c r="M91" s="38">
        <f t="shared" ca="1" si="53"/>
        <v>384460</v>
      </c>
      <c r="N91" s="38">
        <f t="shared" ca="1" si="53"/>
        <v>303956</v>
      </c>
      <c r="O91" s="38">
        <f t="shared" ca="1" si="50"/>
        <v>79.060500442178636</v>
      </c>
      <c r="P91" s="38">
        <f t="shared" ca="1" si="51"/>
        <v>79.060500442178636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IFERROR(__xludf.DUMMYFUNCTION("IMPORTRANGE(""https://docs.google.com/spreadsheets/d/1MeEWN-I1oV_STSDYn1IFDPWt_1FKiwhDph83XaGc0o0/edit?usp=sharing"",""งบพรบ!AQ68"")"),384460)</f>
        <v>384460</v>
      </c>
      <c r="M93" s="45">
        <f ca="1">IFERROR(__xludf.DUMMYFUNCTION("IMPORTRANGE(""https://docs.google.com/spreadsheets/d/1MeEWN-I1oV_STSDYn1IFDPWt_1FKiwhDph83XaGc0o0/edit?usp=sharing"",""งบพรบ!AV68"")"),384460)</f>
        <v>384460</v>
      </c>
      <c r="N93" s="45">
        <f ca="1">IFERROR(__xludf.DUMMYFUNCTION("IMPORTRANGE(""https://docs.google.com/spreadsheets/d/1MeEWN-I1oV_STSDYn1IFDPWt_1FKiwhDph83XaGc0o0/edit?usp=sharing"",""งบพรบ!AX68"")"),303956)</f>
        <v>303956</v>
      </c>
      <c r="O93" s="45">
        <f t="shared" ca="1" si="50"/>
        <v>79.060500442178636</v>
      </c>
      <c r="P93" s="45">
        <f t="shared" ca="1" si="51"/>
        <v>79.060500442178636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IFERROR(__xludf.DUMMYFUNCTION("IMPORTRANGE(""https://docs.google.com/spreadsheets/d/1MeEWN-I1oV_STSDYn1IFDPWt_1FKiwhDph83XaGc0o0/edit?usp=sharing"",""งบพรบ!AT68"")"),0)</f>
        <v>0</v>
      </c>
      <c r="M96" s="45">
        <f ca="1">IFERROR(__xludf.DUMMYFUNCTION("IMPORTRANGE(""https://docs.google.com/spreadsheets/d/1MeEWN-I1oV_STSDYn1IFDPWt_1FKiwhDph83XaGc0o0/edit?usp=sharing"",""งบพรบ!AW68"")"),0)</f>
        <v>0</v>
      </c>
      <c r="N96" s="45">
        <f ca="1">IFERROR(__xludf.DUMMYFUNCTION("IMPORTRANGE(""https://docs.google.com/spreadsheets/d/1MeEWN-I1oV_STSDYn1IFDPWt_1FKiwhDph83XaGc0o0/edit?usp=sharing"",""งบพรบ!AY68"")"),0)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IFERROR(__xludf.DUMMYFUNCTION("IMPORTRANGE(""https://docs.google.com/spreadsheets/d/1QqKyyYR6Q21VydFLVH3TRQUabQu_ym0Zz7PgGX0-kHA/edit?usp=sharing"",""แผน!K68"")"),45)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IFERROR(__xludf.DUMMYFUNCTION("IMPORTRANGE(""https://docs.google.com/spreadsheets/d/1QqKyyYR6Q21VydFLVH3TRQUabQu_ym0Zz7PgGX0-kHA/edit?usp=sharing"",""แผน!L68"")"),15)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IFERROR(__xludf.DUMMYFUNCTION("IMPORTRANGE(""https://docs.google.com/spreadsheets/d/1QqKyyYR6Q21VydFLVH3TRQUabQu_ym0Zz7PgGX0-kHA/edit?usp=sharing"",""แผน!M68"")"),2)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IFERROR(__xludf.DUMMYFUNCTION("IMPORTRANGE(""https://docs.google.com/spreadsheets/d/1QqKyyYR6Q21VydFLVH3TRQUabQu_ym0Zz7PgGX0-kHA/edit?usp=sharing"",""แผน!N68"")"),45)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IFERROR(__xludf.DUMMYFUNCTION("IMPORTRANGE(""https://docs.google.com/spreadsheets/d/1QqKyyYR6Q21VydFLVH3TRQUabQu_ym0Zz7PgGX0-kHA/edit?usp=sharing"",""แผน!O68"")"),15)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IFERROR(__xludf.DUMMYFUNCTION("IMPORTRANGE(""https://docs.google.com/spreadsheets/d/1QqKyyYR6Q21VydFLVH3TRQUabQu_ym0Zz7PgGX0-kHA/edit?usp=sharing"",""แผน!O68"")"),15)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IFERROR(__xludf.DUMMYFUNCTION("IMPORTRANGE(""https://docs.google.com/spreadsheets/d/1QqKyyYR6Q21VydFLVH3TRQUabQu_ym0Zz7PgGX0-kHA/edit?usp=sharing"",""แผน!P68"")"),1)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IFERROR(__xludf.DUMMYFUNCTION("IMPORTRANGE(""https://docs.google.com/spreadsheets/d/1QqKyyYR6Q21VydFLVH3TRQUabQu_ym0Zz7PgGX0-kHA/edit?usp=sharing"",""แผน!Q68"")"),1)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IFERROR(__xludf.DUMMYFUNCTION("IMPORTRANGE(""https://docs.google.com/spreadsheets/d/1QqKyyYR6Q21VydFLVH3TRQUabQu_ym0Zz7PgGX0-kHA/edit?usp=sharing"",""แผน!Q68"")"),1)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IFERROR(__xludf.DUMMYFUNCTION("IMPORTRANGE(""https://docs.google.com/spreadsheets/d/1QqKyyYR6Q21VydFLVH3TRQUabQu_ym0Zz7PgGX0-kHA/edit?usp=sharing"",""แผน!R68"")"),15)</f>
        <v>15</v>
      </c>
      <c r="J111" s="190">
        <f>J114</f>
        <v>15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IFERROR(__xludf.DUMMYFUNCTION("IMPORTRANGE(""https://docs.google.com/spreadsheets/d/1QqKyyYR6Q21VydFLVH3TRQUabQu_ym0Zz7PgGX0-kHA/edit?usp=sharing"",""แผน!R68"")"),15)</f>
        <v>15</v>
      </c>
      <c r="J113" s="181">
        <v>15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IFERROR(__xludf.DUMMYFUNCTION("IMPORTRANGE(""https://docs.google.com/spreadsheets/d/1QqKyyYR6Q21VydFLVH3TRQUabQu_ym0Zz7PgGX0-kHA/edit?usp=sharing"",""แผน!R68"")"),15)</f>
        <v>15</v>
      </c>
      <c r="J114" s="181">
        <v>15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IFERROR(__xludf.DUMMYFUNCTION("IMPORTRANGE(""https://docs.google.com/spreadsheets/d/1QqKyyYR6Q21VydFLVH3TRQUabQu_ym0Zz7PgGX0-kHA/edit?usp=sharing"",""แผน!S68"")"),1)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IFERROR(__xludf.DUMMYFUNCTION("IMPORTRANGE(""https://docs.google.com/spreadsheets/d/1QqKyyYR6Q21VydFLVH3TRQUabQu_ym0Zz7PgGX0-kHA/edit?usp=sharing"",""แผน!T68"")"),1)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IFERROR(__xludf.DUMMYFUNCTION("IMPORTRANGE(""https://docs.google.com/spreadsheets/d/1MeEWN-I1oV_STSDYn1IFDPWt_1FKiwhDph83XaGc0o0/edit?usp=sharing"",""งบพรบ!BA68"")"),0)</f>
        <v>0</v>
      </c>
      <c r="M124" s="45">
        <f ca="1">IFERROR(__xludf.DUMMYFUNCTION("IMPORTRANGE(""https://docs.google.com/spreadsheets/d/1MeEWN-I1oV_STSDYn1IFDPWt_1FKiwhDph83XaGc0o0/edit?usp=sharing"",""งบพรบ!BF68"")"),0)</f>
        <v>0</v>
      </c>
      <c r="N124" s="45">
        <f ca="1">IFERROR(__xludf.DUMMYFUNCTION("IMPORTRANGE(""https://docs.google.com/spreadsheets/d/1MeEWN-I1oV_STSDYn1IFDPWt_1FKiwhDph83XaGc0o0/edit?usp=sharing"",""งบพรบ!BH68"")"),0)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IFERROR(__xludf.DUMMYFUNCTION("IMPORTRANGE(""https://docs.google.com/spreadsheets/d/1MeEWN-I1oV_STSDYn1IFDPWt_1FKiwhDph83XaGc0o0/edit?usp=sharing"",""งบพรบ!BD68"")"),0)</f>
        <v>0</v>
      </c>
      <c r="M127" s="45">
        <f ca="1">IFERROR(__xludf.DUMMYFUNCTION("IMPORTRANGE(""https://docs.google.com/spreadsheets/d/1MeEWN-I1oV_STSDYn1IFDPWt_1FKiwhDph83XaGc0o0/edit?usp=sharing"",""งบพรบ!BG68"")"),0)</f>
        <v>0</v>
      </c>
      <c r="N127" s="45">
        <f ca="1">IFERROR(__xludf.DUMMYFUNCTION("IMPORTRANGE(""https://docs.google.com/spreadsheets/d/1MeEWN-I1oV_STSDYn1IFDPWt_1FKiwhDph83XaGc0o0/edit?usp=sharing"",""งบพรบ!BI68"")"),0)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IFERROR(__xludf.DUMMYFUNCTION("IMPORTRANGE(""https://docs.google.com/spreadsheets/d/1MeEWN-I1oV_STSDYn1IFDPWt_1FKiwhDph83XaGc0o0/edit?usp=sharing"",""งบพรบ!BK68"")"),0)</f>
        <v>0</v>
      </c>
      <c r="M137" s="45">
        <f ca="1">IFERROR(__xludf.DUMMYFUNCTION("IMPORTRANGE(""https://docs.google.com/spreadsheets/d/1MeEWN-I1oV_STSDYn1IFDPWt_1FKiwhDph83XaGc0o0/edit?usp=sharing"",""งบพรบ!BP68"")"),0)</f>
        <v>0</v>
      </c>
      <c r="N137" s="45">
        <f ca="1">IFERROR(__xludf.DUMMYFUNCTION("IMPORTRANGE(""https://docs.google.com/spreadsheets/d/1MeEWN-I1oV_STSDYn1IFDPWt_1FKiwhDph83XaGc0o0/edit?usp=sharing"",""งบพรบ!BR68"")"),0)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IFERROR(__xludf.DUMMYFUNCTION("IMPORTRANGE(""https://docs.google.com/spreadsheets/d/1MeEWN-I1oV_STSDYn1IFDPWt_1FKiwhDph83XaGc0o0/edit?usp=sharing"",""งบพรบ!BN68"")"),0)</f>
        <v>0</v>
      </c>
      <c r="M140" s="45">
        <f ca="1">IFERROR(__xludf.DUMMYFUNCTION("IMPORTRANGE(""https://docs.google.com/spreadsheets/d/1MeEWN-I1oV_STSDYn1IFDPWt_1FKiwhDph83XaGc0o0/edit?usp=sharing"",""งบพรบ!BQ68"")"),0)</f>
        <v>0</v>
      </c>
      <c r="N140" s="45">
        <f ca="1">IFERROR(__xludf.DUMMYFUNCTION("IMPORTRANGE(""https://docs.google.com/spreadsheets/d/1MeEWN-I1oV_STSDYn1IFDPWt_1FKiwhDph83XaGc0o0/edit?usp=sharing"",""งบพรบ!BS68"")"),0)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IFERROR(__xludf.DUMMYFUNCTION("IMPORTRANGE(""https://docs.google.com/spreadsheets/d/1QqKyyYR6Q21VydFLVH3TRQUabQu_ym0Zz7PgGX0-kHA/edit?usp=sharing"",""แผน!U68"")"),0)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IFERROR(__xludf.DUMMYFUNCTION("IMPORTRANGE(""https://docs.google.com/spreadsheets/d/1QqKyyYR6Q21VydFLVH3TRQUabQu_ym0Zz7PgGX0-kHA/edit?usp=sharing"",""แผน!V68"")"),0)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IFERROR(__xludf.DUMMYFUNCTION("IMPORTRANGE(""https://docs.google.com/spreadsheets/d/1QqKyyYR6Q21VydFLVH3TRQUabQu_ym0Zz7PgGX0-kHA/edit?usp=sharing"",""แผน!W68"")"),0)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10</v>
      </c>
      <c r="J148" s="143">
        <f t="shared" si="76"/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5000</v>
      </c>
      <c r="M149" s="154">
        <f t="shared" ca="1" si="77"/>
        <v>5000</v>
      </c>
      <c r="N149" s="154">
        <f t="shared" ca="1" si="77"/>
        <v>5000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5000</v>
      </c>
      <c r="M151" s="45">
        <f t="shared" ca="1" si="80"/>
        <v>5000</v>
      </c>
      <c r="N151" s="45">
        <f t="shared" ca="1" si="80"/>
        <v>5000</v>
      </c>
      <c r="O151" s="45">
        <f t="shared" ca="1" si="78"/>
        <v>100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5000</v>
      </c>
      <c r="M152" s="38">
        <f t="shared" ca="1" si="81"/>
        <v>5000</v>
      </c>
      <c r="N152" s="38">
        <f t="shared" ca="1" si="81"/>
        <v>5000</v>
      </c>
      <c r="O152" s="38">
        <f t="shared" ca="1" si="78"/>
        <v>100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IFERROR(__xludf.DUMMYFUNCTION("IMPORTRANGE(""https://docs.google.com/spreadsheets/d/1MeEWN-I1oV_STSDYn1IFDPWt_1FKiwhDph83XaGc0o0/edit?usp=sharing"",""งบพรบ!BU68"")"),5000)</f>
        <v>5000</v>
      </c>
      <c r="M154" s="45">
        <f ca="1">IFERROR(__xludf.DUMMYFUNCTION("IMPORTRANGE(""https://docs.google.com/spreadsheets/d/1MeEWN-I1oV_STSDYn1IFDPWt_1FKiwhDph83XaGc0o0/edit?usp=sharing"",""งบพรบ!BZ68"")"),5000)</f>
        <v>5000</v>
      </c>
      <c r="N154" s="45">
        <f ca="1">IFERROR(__xludf.DUMMYFUNCTION("IMPORTRANGE(""https://docs.google.com/spreadsheets/d/1MeEWN-I1oV_STSDYn1IFDPWt_1FKiwhDph83XaGc0o0/edit?usp=sharing"",""งบพรบ!CB68"")"),5000)</f>
        <v>5000</v>
      </c>
      <c r="O154" s="45">
        <f t="shared" ca="1" si="78"/>
        <v>100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IFERROR(__xludf.DUMMYFUNCTION("IMPORTRANGE(""https://docs.google.com/spreadsheets/d/1MeEWN-I1oV_STSDYn1IFDPWt_1FKiwhDph83XaGc0o0/edit?usp=sharing"",""งบพรบ!BX68"")"),0)</f>
        <v>0</v>
      </c>
      <c r="M157" s="45">
        <f ca="1">IFERROR(__xludf.DUMMYFUNCTION("IMPORTRANGE(""https://docs.google.com/spreadsheets/d/1MeEWN-I1oV_STSDYn1IFDPWt_1FKiwhDph83XaGc0o0/edit?usp=sharing"",""งบพรบ!CA68"")"),0)</f>
        <v>0</v>
      </c>
      <c r="N157" s="45">
        <f ca="1">IFERROR(__xludf.DUMMYFUNCTION("IMPORTRANGE(""https://docs.google.com/spreadsheets/d/1MeEWN-I1oV_STSDYn1IFDPWt_1FKiwhDph83XaGc0o0/edit?usp=sharing"",""งบพรบ!CC68"")"),0)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IFERROR(__xludf.DUMMYFUNCTION("IMPORTRANGE(""https://docs.google.com/spreadsheets/d/1QqKyyYR6Q21VydFLVH3TRQUabQu_ym0Zz7PgGX0-kHA/edit?usp=sharing"",""แผน!X68"")"),10)</f>
        <v>10</v>
      </c>
      <c r="J159" s="181">
        <v>10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IFERROR(__xludf.DUMMYFUNCTION("IMPORTRANGE(""https://docs.google.com/spreadsheets/d/1MeEWN-I1oV_STSDYn1IFDPWt_1FKiwhDph83XaGc0o0/edit?usp=sharing"",""งบพรบ!CE68"")"),23060)</f>
        <v>23060</v>
      </c>
      <c r="M170" s="45">
        <f ca="1">IFERROR(__xludf.DUMMYFUNCTION("IMPORTRANGE(""https://docs.google.com/spreadsheets/d/1MeEWN-I1oV_STSDYn1IFDPWt_1FKiwhDph83XaGc0o0/edit?usp=sharing"",""งบพรบ!CJ68"")"),23060)</f>
        <v>23060</v>
      </c>
      <c r="N170" s="45">
        <f ca="1">IFERROR(__xludf.DUMMYFUNCTION("IMPORTRANGE(""https://docs.google.com/spreadsheets/d/1MeEWN-I1oV_STSDYn1IFDPWt_1FKiwhDph83XaGc0o0/edit?usp=sharing"",""งบพรบ!CL68"")"),23060)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IFERROR(__xludf.DUMMYFUNCTION("IMPORTRANGE(""https://docs.google.com/spreadsheets/d/1MeEWN-I1oV_STSDYn1IFDPWt_1FKiwhDph83XaGc0o0/edit?usp=sharing"",""งบพรบ!CH68"")"),0)</f>
        <v>0</v>
      </c>
      <c r="M173" s="45">
        <f ca="1">IFERROR(__xludf.DUMMYFUNCTION("IMPORTRANGE(""https://docs.google.com/spreadsheets/d/1MeEWN-I1oV_STSDYn1IFDPWt_1FKiwhDph83XaGc0o0/edit?usp=sharing"",""งบพรบ!CK68"")"),0)</f>
        <v>0</v>
      </c>
      <c r="N173" s="45">
        <f ca="1">IFERROR(__xludf.DUMMYFUNCTION("IMPORTRANGE(""https://docs.google.com/spreadsheets/d/1MeEWN-I1oV_STSDYn1IFDPWt_1FKiwhDph83XaGc0o0/edit?usp=sharing"",""งบพรบ!CM68"")"),0)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IFERROR(__xludf.DUMMYFUNCTION("IMPORTRANGE(""https://docs.google.com/spreadsheets/d/1QqKyyYR6Q21VydFLVH3TRQUabQu_ym0Zz7PgGX0-kHA/edit?usp=sharing"",""แผน!Y68"")"),12)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89000</v>
      </c>
      <c r="M181" s="154">
        <f t="shared" ca="1" si="92"/>
        <v>89000</v>
      </c>
      <c r="N181" s="154">
        <f t="shared" ca="1" si="92"/>
        <v>54720</v>
      </c>
      <c r="O181" s="154">
        <f t="shared" ref="O181:O189" ca="1" si="93">IF(L181&gt;0,N181*100/L181,0)</f>
        <v>61.483146067415731</v>
      </c>
      <c r="P181" s="154">
        <f t="shared" ref="P181:P189" ca="1" si="94">IF(M181&gt;0,N181*100/M181,0)</f>
        <v>61.483146067415731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89000</v>
      </c>
      <c r="M183" s="45">
        <f t="shared" ca="1" si="95"/>
        <v>89000</v>
      </c>
      <c r="N183" s="45">
        <f t="shared" ca="1" si="95"/>
        <v>54720</v>
      </c>
      <c r="O183" s="45">
        <f t="shared" ca="1" si="93"/>
        <v>61.483146067415731</v>
      </c>
      <c r="P183" s="45">
        <f t="shared" ca="1" si="94"/>
        <v>61.483146067415731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89000</v>
      </c>
      <c r="M184" s="38">
        <f t="shared" ca="1" si="96"/>
        <v>89000</v>
      </c>
      <c r="N184" s="38">
        <f t="shared" ca="1" si="96"/>
        <v>54720</v>
      </c>
      <c r="O184" s="38">
        <f t="shared" ca="1" si="93"/>
        <v>61.483146067415731</v>
      </c>
      <c r="P184" s="38">
        <f t="shared" ca="1" si="94"/>
        <v>61.483146067415731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IFERROR(__xludf.DUMMYFUNCTION("IMPORTRANGE(""https://docs.google.com/spreadsheets/d/1MeEWN-I1oV_STSDYn1IFDPWt_1FKiwhDph83XaGc0o0/edit?usp=sharing"",""งบพรบ!CO68"")"),89000)</f>
        <v>89000</v>
      </c>
      <c r="M186" s="45">
        <f ca="1">IFERROR(__xludf.DUMMYFUNCTION("IMPORTRANGE(""https://docs.google.com/spreadsheets/d/1MeEWN-I1oV_STSDYn1IFDPWt_1FKiwhDph83XaGc0o0/edit?usp=sharing"",""งบพรบ!CT68"")"),89000)</f>
        <v>89000</v>
      </c>
      <c r="N186" s="45">
        <f ca="1">IFERROR(__xludf.DUMMYFUNCTION("IMPORTRANGE(""https://docs.google.com/spreadsheets/d/1MeEWN-I1oV_STSDYn1IFDPWt_1FKiwhDph83XaGc0o0/edit?usp=sharing"",""งบพรบ!CV68"")"),54720)</f>
        <v>54720</v>
      </c>
      <c r="O186" s="45">
        <f t="shared" ca="1" si="93"/>
        <v>61.483146067415731</v>
      </c>
      <c r="P186" s="45">
        <f t="shared" ca="1" si="94"/>
        <v>61.483146067415731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IFERROR(__xludf.DUMMYFUNCTION("IMPORTRANGE(""https://docs.google.com/spreadsheets/d/1MeEWN-I1oV_STSDYn1IFDPWt_1FKiwhDph83XaGc0o0/edit?usp=sharing"",""งบพรบ!CR68"")"),0)</f>
        <v>0</v>
      </c>
      <c r="M189" s="45">
        <f ca="1">IFERROR(__xludf.DUMMYFUNCTION("IMPORTRANGE(""https://docs.google.com/spreadsheets/d/1MeEWN-I1oV_STSDYn1IFDPWt_1FKiwhDph83XaGc0o0/edit?usp=sharing"",""งบพรบ!CU68"")"),0)</f>
        <v>0</v>
      </c>
      <c r="N189" s="45">
        <f ca="1">IFERROR(__xludf.DUMMYFUNCTION("IMPORTRANGE(""https://docs.google.com/spreadsheets/d/1MeEWN-I1oV_STSDYn1IFDPWt_1FKiwhDph83XaGc0o0/edit?usp=sharing"",""งบพรบ!CW68"")"),0)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IFERROR(__xludf.DUMMYFUNCTION("IMPORTRANGE(""https://docs.google.com/spreadsheets/d/1QqKyyYR6Q21VydFLVH3TRQUabQu_ym0Zz7PgGX0-kHA/edit?usp=sharing"",""แผน!Z68"")"),6000)</f>
        <v>6000</v>
      </c>
      <c r="M191" s="154"/>
      <c r="N191" s="264">
        <v>2720</v>
      </c>
      <c r="O191" s="154">
        <f ca="1">IF(L191&gt;0,N191*100/L191,0)</f>
        <v>45.333333333333336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IFERROR(__xludf.DUMMYFUNCTION("IMPORTRANGE(""https://docs.google.com/spreadsheets/d/1QqKyyYR6Q21VydFLVH3TRQUabQu_ym0Zz7PgGX0-kHA/edit?usp=sharing"",""แผน!AC68"")"),4)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IFERROR(__xludf.DUMMYFUNCTION("IMPORTRANGE(""https://docs.google.com/spreadsheets/d/1QqKyyYR6Q21VydFLVH3TRQUabQu_ym0Zz7PgGX0-kHA/edit?usp=sharing"",""แผน!AE68"")"),4000)</f>
        <v>4000</v>
      </c>
      <c r="M199" s="38"/>
      <c r="N199" s="271">
        <v>4000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IFERROR(__xludf.DUMMYFUNCTION("IMPORTRANGE(""https://docs.google.com/spreadsheets/d/1QqKyyYR6Q21VydFLVH3TRQUabQu_ym0Zz7PgGX0-kHA/edit?usp=sharing"",""แผน!AF68"")"),32000)</f>
        <v>32000</v>
      </c>
      <c r="M200" s="38"/>
      <c r="N200" s="271">
        <v>32000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IFERROR(__xludf.DUMMYFUNCTION("IMPORTRANGE(""https://docs.google.com/spreadsheets/d/1QqKyyYR6Q21VydFLVH3TRQUabQu_ym0Zz7PgGX0-kHA/edit?usp=sharing"",""แผน!AG68"")"),16000)</f>
        <v>16000</v>
      </c>
      <c r="M201" s="38"/>
      <c r="N201" s="271">
        <v>16000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IFERROR(__xludf.DUMMYFUNCTION("IMPORTRANGE(""https://docs.google.com/spreadsheets/d/1QqKyyYR6Q21VydFLVH3TRQUabQu_ym0Zz7PgGX0-kHA/edit?usp=sharing"",""แผน!AH68"")"),0)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IFERROR(__xludf.DUMMYFUNCTION("IMPORTRANGE(""https://docs.google.com/spreadsheets/d/1QqKyyYR6Q21VydFLVH3TRQUabQu_ym0Zz7PgGX0-kHA/edit?usp=sharing"",""แผน!AI68"")"),4)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IFERROR(__xludf.DUMMYFUNCTION("IMPORTRANGE(""https://docs.google.com/spreadsheets/d/1QqKyyYR6Q21VydFLVH3TRQUabQu_ym0Zz7PgGX0-kHA/edit?usp=sharing"",""แผน!AK68"")"),0)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IFERROR(__xludf.DUMMYFUNCTION("IMPORTRANGE(""https://docs.google.com/spreadsheets/d/1QqKyyYR6Q21VydFLVH3TRQUabQu_ym0Zz7PgGX0-kHA/edit?usp=sharing"",""แผน!AL68"")"),0)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IFERROR(__xludf.DUMMYFUNCTION("IMPORTRANGE(""https://docs.google.com/spreadsheets/d/1QqKyyYR6Q21VydFLVH3TRQUabQu_ym0Zz7PgGX0-kHA/edit?usp=sharing"",""แผน!AM68"")"),0)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IFERROR(__xludf.DUMMYFUNCTION("IMPORTRANGE(""https://docs.google.com/spreadsheets/d/1QqKyyYR6Q21VydFLVH3TRQUabQu_ym0Zz7PgGX0-kHA/edit?usp=sharing"",""แผน!AN68"")"),0)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IFERROR(__xludf.DUMMYFUNCTION("IMPORTRANGE(""https://docs.google.com/spreadsheets/d/1QqKyyYR6Q21VydFLVH3TRQUabQu_ym0Zz7PgGX0-kHA/edit?usp=sharing"",""แผน!AN68"")"),0)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100000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31000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IFERROR(__xludf.DUMMYFUNCTION("IMPORTRANGE(""https://docs.google.com/spreadsheets/d/1QqKyyYR6Q21VydFLVH3TRQUabQu_ym0Zz7PgGX0-kHA/edit?usp=sharing"",""แผน!AP68"")"),6000)</f>
        <v>6000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IFERROR(__xludf.DUMMYFUNCTION("IMPORTRANGE(""https://docs.google.com/spreadsheets/d/1QqKyyYR6Q21VydFLVH3TRQUabQu_ym0Zz7PgGX0-kHA/edit?usp=sharing"",""แผน!AQ68"")"),25000)</f>
        <v>25000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IFERROR(__xludf.DUMMYFUNCTION("IMPORTRANGE(""https://docs.google.com/spreadsheets/d/1QqKyyYR6Q21VydFLVH3TRQUabQu_ym0Zz7PgGX0-kHA/edit?usp=sharing"",""แผน!AR68"")"),0)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IFERROR(__xludf.DUMMYFUNCTION("IMPORTRANGE(""https://docs.google.com/spreadsheets/d/1QqKyyYR6Q21VydFLVH3TRQUabQu_ym0Zz7PgGX0-kHA/edit?usp=sharing"",""แผน!AT68"")"),100000)</f>
        <v>100000</v>
      </c>
      <c r="J223" s="181">
        <v>100000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IFERROR(__xludf.DUMMYFUNCTION("IMPORTRANGE(""https://docs.google.com/spreadsheets/d/1QqKyyYR6Q21VydFLVH3TRQUabQu_ym0Zz7PgGX0-kHA/edit?usp=sharing"",""แผน!AT68"")"),100000)</f>
        <v>100000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IFERROR(__xludf.DUMMYFUNCTION("IMPORTRANGE(""https://docs.google.com/spreadsheets/d/1QqKyyYR6Q21VydFLVH3TRQUabQu_ym0Zz7PgGX0-kHA/edit?usp=sharing"",""แผน!AV68"")"),0)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IFERROR(__xludf.DUMMYFUNCTION("IMPORTRANGE(""https://docs.google.com/spreadsheets/d/1QqKyyYR6Q21VydFLVH3TRQUabQu_ym0Zz7PgGX0-kHA/edit?usp=sharing"",""แผน!AW68"")"),0)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IFERROR(__xludf.DUMMYFUNCTION("IMPORTRANGE(""https://docs.google.com/spreadsheets/d/1QqKyyYR6Q21VydFLVH3TRQUabQu_ym0Zz7PgGX0-kHA/edit?usp=sharing"",""แผน!AX68"")"),0)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IFERROR(__xludf.DUMMYFUNCTION("IMPORTRANGE(""https://docs.google.com/spreadsheets/d/1QqKyyYR6Q21VydFLVH3TRQUabQu_ym0Zz7PgGX0-kHA/edit?usp=sharing"",""แผน!AY68"")"),0)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IFERROR(__xludf.DUMMYFUNCTION("IMPORTRANGE(""https://docs.google.com/spreadsheets/d/1QqKyyYR6Q21VydFLVH3TRQUabQu_ym0Zz7PgGX0-kHA/edit?usp=sharing"",""แผน!AZ68"")"),0)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IFERROR(__xludf.DUMMYFUNCTION("IMPORTRANGE(""https://docs.google.com/spreadsheets/d/1QqKyyYR6Q21VydFLVH3TRQUabQu_ym0Zz7PgGX0-kHA/edit?usp=sharing"",""แผน!BA68"")"),0)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IFERROR(__xludf.DUMMYFUNCTION("IMPORTRANGE(""https://docs.google.com/spreadsheets/d/1QqKyyYR6Q21VydFLVH3TRQUabQu_ym0Zz7PgGX0-kHA/edit?usp=sharing"",""แผน!BB68"")"),0)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IFERROR(__xludf.DUMMYFUNCTION("IMPORTRANGE(""https://docs.google.com/spreadsheets/d/1QqKyyYR6Q21VydFLVH3TRQUabQu_ym0Zz7PgGX0-kHA/edit?usp=sharing"",""แผน!BC68"")"),0)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22080</v>
      </c>
      <c r="O261" s="154">
        <f t="shared" ref="O261:O269" ca="1" si="117">IF(L261&gt;0,N261*100/L261,0)</f>
        <v>82.081784386617102</v>
      </c>
      <c r="P261" s="154">
        <f t="shared" ref="P261:P269" ca="1" si="118">IF(M261&gt;0,N261*100/M261,0)</f>
        <v>82.081784386617102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22080</v>
      </c>
      <c r="O263" s="45">
        <f t="shared" ca="1" si="117"/>
        <v>82.081784386617102</v>
      </c>
      <c r="P263" s="45">
        <f t="shared" ca="1" si="118"/>
        <v>82.081784386617102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22080</v>
      </c>
      <c r="O264" s="38">
        <f t="shared" ca="1" si="117"/>
        <v>82.081784386617102</v>
      </c>
      <c r="P264" s="38">
        <f t="shared" ca="1" si="118"/>
        <v>82.081784386617102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IFERROR(__xludf.DUMMYFUNCTION("IMPORTRANGE(""https://docs.google.com/spreadsheets/d/1MeEWN-I1oV_STSDYn1IFDPWt_1FKiwhDph83XaGc0o0/edit?usp=sharing"",""งบพรบ!CY68"")"),26900)</f>
        <v>26900</v>
      </c>
      <c r="M266" s="45">
        <f ca="1">IFERROR(__xludf.DUMMYFUNCTION("IMPORTRANGE(""https://docs.google.com/spreadsheets/d/1MeEWN-I1oV_STSDYn1IFDPWt_1FKiwhDph83XaGc0o0/edit?usp=sharing"",""งบพรบ!DD68"")"),26900)</f>
        <v>26900</v>
      </c>
      <c r="N266" s="45">
        <f ca="1">IFERROR(__xludf.DUMMYFUNCTION("IMPORTRANGE(""https://docs.google.com/spreadsheets/d/1MeEWN-I1oV_STSDYn1IFDPWt_1FKiwhDph83XaGc0o0/edit?usp=sharing"",""งบพรบ!DF68"")"),22080)</f>
        <v>22080</v>
      </c>
      <c r="O266" s="45">
        <f t="shared" ca="1" si="117"/>
        <v>82.081784386617102</v>
      </c>
      <c r="P266" s="45">
        <f t="shared" ca="1" si="118"/>
        <v>82.081784386617102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IFERROR(__xludf.DUMMYFUNCTION("IMPORTRANGE(""https://docs.google.com/spreadsheets/d/1MeEWN-I1oV_STSDYn1IFDPWt_1FKiwhDph83XaGc0o0/edit?usp=sharing"",""งบพรบ!DB68"")"),0)</f>
        <v>0</v>
      </c>
      <c r="M269" s="45">
        <f ca="1">IFERROR(__xludf.DUMMYFUNCTION("IMPORTRANGE(""https://docs.google.com/spreadsheets/d/1MeEWN-I1oV_STSDYn1IFDPWt_1FKiwhDph83XaGc0o0/edit?usp=sharing"",""งบพรบ!DE68"")"),0)</f>
        <v>0</v>
      </c>
      <c r="N269" s="45">
        <f ca="1">IFERROR(__xludf.DUMMYFUNCTION("IMPORTRANGE(""https://docs.google.com/spreadsheets/d/1MeEWN-I1oV_STSDYn1IFDPWt_1FKiwhDph83XaGc0o0/edit?usp=sharing"",""งบพรบ!DG68"")"),0)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IFERROR(__xludf.DUMMYFUNCTION("IMPORTRANGE(""https://docs.google.com/spreadsheets/d/1QqKyyYR6Q21VydFLVH3TRQUabQu_ym0Zz7PgGX0-kHA/edit?usp=sharing"",""แผน!EA68"")"),22)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60</v>
      </c>
      <c r="J275" s="387">
        <f t="shared" ca="1" si="122"/>
        <v>60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600</v>
      </c>
      <c r="J276" s="810">
        <f t="shared" si="124"/>
        <v>600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216980</v>
      </c>
      <c r="M277" s="154">
        <f t="shared" ca="1" si="125"/>
        <v>216980</v>
      </c>
      <c r="N277" s="154">
        <f t="shared" ca="1" si="125"/>
        <v>211660</v>
      </c>
      <c r="O277" s="154">
        <f t="shared" ref="O277:O285" ca="1" si="126">IF(L277&gt;0,N277*100/L277,0)</f>
        <v>97.548161120840632</v>
      </c>
      <c r="P277" s="154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216980</v>
      </c>
      <c r="M279" s="45">
        <f t="shared" ca="1" si="128"/>
        <v>216980</v>
      </c>
      <c r="N279" s="45">
        <f t="shared" ca="1" si="128"/>
        <v>211660</v>
      </c>
      <c r="O279" s="45">
        <f t="shared" ca="1" si="126"/>
        <v>97.548161120840632</v>
      </c>
      <c r="P279" s="45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216980</v>
      </c>
      <c r="M280" s="38">
        <f t="shared" ca="1" si="129"/>
        <v>216980</v>
      </c>
      <c r="N280" s="38">
        <f t="shared" ca="1" si="129"/>
        <v>211660</v>
      </c>
      <c r="O280" s="38">
        <f t="shared" ca="1" si="126"/>
        <v>97.548161120840632</v>
      </c>
      <c r="P280" s="38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IFERROR(__xludf.DUMMYFUNCTION("IMPORTRANGE(""https://docs.google.com/spreadsheets/d/1MeEWN-I1oV_STSDYn1IFDPWt_1FKiwhDph83XaGc0o0/edit?usp=sharing"",""งบพรบ!DI68"")"),216980)</f>
        <v>216980</v>
      </c>
      <c r="M282" s="45">
        <f ca="1">IFERROR(__xludf.DUMMYFUNCTION("IMPORTRANGE(""https://docs.google.com/spreadsheets/d/1MeEWN-I1oV_STSDYn1IFDPWt_1FKiwhDph83XaGc0o0/edit?usp=sharing"",""งบพรบ!DN68"")"),216980)</f>
        <v>216980</v>
      </c>
      <c r="N282" s="45">
        <f ca="1">IFERROR(__xludf.DUMMYFUNCTION("IMPORTRANGE(""https://docs.google.com/spreadsheets/d/1MeEWN-I1oV_STSDYn1IFDPWt_1FKiwhDph83XaGc0o0/edit?usp=sharing"",""งบพรบ!DP68"")"),211660)</f>
        <v>211660</v>
      </c>
      <c r="O282" s="45">
        <f t="shared" ca="1" si="126"/>
        <v>97.548161120840632</v>
      </c>
      <c r="P282" s="45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IFERROR(__xludf.DUMMYFUNCTION("IMPORTRANGE(""https://docs.google.com/spreadsheets/d/1MeEWN-I1oV_STSDYn1IFDPWt_1FKiwhDph83XaGc0o0/edit?usp=sharing"",""งบพรบ!DL68"")"),0)</f>
        <v>0</v>
      </c>
      <c r="M285" s="45">
        <f ca="1">IFERROR(__xludf.DUMMYFUNCTION("IMPORTRANGE(""https://docs.google.com/spreadsheets/d/1MeEWN-I1oV_STSDYn1IFDPWt_1FKiwhDph83XaGc0o0/edit?usp=sharing"",""งบพรบ!DO68"")"),0)</f>
        <v>0</v>
      </c>
      <c r="N285" s="45">
        <f ca="1">IFERROR(__xludf.DUMMYFUNCTION("IMPORTRANGE(""https://docs.google.com/spreadsheets/d/1MeEWN-I1oV_STSDYn1IFDPWt_1FKiwhDph83XaGc0o0/edit?usp=sharing"",""งบพรบ!DQ68"")"),0)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IFERROR(__xludf.DUMMYFUNCTION("IMPORTRANGE(""https://docs.google.com/spreadsheets/d/1QqKyyYR6Q21VydFLVH3TRQUabQu_ym0Zz7PgGX0-kHA/edit?usp=sharing"",""แผน!EC68"")"),600)</f>
        <v>600</v>
      </c>
      <c r="J287" s="181">
        <v>600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IFERROR(__xludf.DUMMYFUNCTION("IMPORTRANGE(""https://docs.google.com/spreadsheets/d/1QqKyyYR6Q21VydFLVH3TRQUabQu_ym0Zz7PgGX0-kHA/edit?usp=sharing"",""แผน!EB68"")"),60)</f>
        <v>60</v>
      </c>
      <c r="J288" s="190">
        <f ca="1">IF(AND(J291&gt;=I288,J294&gt;=I288),J294,0)</f>
        <v>60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IFERROR(__xludf.DUMMYFUNCTION("IMPORTRANGE(""https://docs.google.com/spreadsheets/d/1QqKyyYR6Q21VydFLVH3TRQUabQu_ym0Zz7PgGX0-kHA/edit?usp=sharing"",""แผน!EB68"")"),60)</f>
        <v>60</v>
      </c>
      <c r="J290" s="181">
        <v>60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IFERROR(__xludf.DUMMYFUNCTION("IMPORTRANGE(""https://docs.google.com/spreadsheets/d/1QqKyyYR6Q21VydFLVH3TRQUabQu_ym0Zz7PgGX0-kHA/edit?usp=sharing"",""แผน!EB68"")"),60)</f>
        <v>60</v>
      </c>
      <c r="J291" s="181">
        <v>60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IFERROR(__xludf.DUMMYFUNCTION("IMPORTRANGE(""https://docs.google.com/spreadsheets/d/1QqKyyYR6Q21VydFLVH3TRQUabQu_ym0Zz7PgGX0-kHA/edit?usp=sharing"",""แผน!EB68"")"),60)</f>
        <v>60</v>
      </c>
      <c r="J293" s="181">
        <v>60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IFERROR(__xludf.DUMMYFUNCTION("IMPORTRANGE(""https://docs.google.com/spreadsheets/d/1QqKyyYR6Q21VydFLVH3TRQUabQu_ym0Zz7PgGX0-kHA/edit?usp=sharing"",""แผน!EB68"")"),60)</f>
        <v>60</v>
      </c>
      <c r="J294" s="401">
        <v>60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25</v>
      </c>
      <c r="J297" s="421">
        <f t="shared" si="134"/>
        <v>25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101000</v>
      </c>
      <c r="M298" s="154">
        <f t="shared" ca="1" si="135"/>
        <v>101000</v>
      </c>
      <c r="N298" s="154">
        <f t="shared" ca="1" si="135"/>
        <v>101000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101000</v>
      </c>
      <c r="M300" s="45">
        <f t="shared" ca="1" si="138"/>
        <v>101000</v>
      </c>
      <c r="N300" s="45">
        <f t="shared" ca="1" si="138"/>
        <v>101000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101000</v>
      </c>
      <c r="M301" s="38">
        <f t="shared" ca="1" si="139"/>
        <v>101000</v>
      </c>
      <c r="N301" s="38">
        <f t="shared" ca="1" si="139"/>
        <v>101000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IFERROR(__xludf.DUMMYFUNCTION("IMPORTRANGE(""https://docs.google.com/spreadsheets/d/1MeEWN-I1oV_STSDYn1IFDPWt_1FKiwhDph83XaGc0o0/edit?usp=sharing"",""งบพรบ!DS68"")"),101000)</f>
        <v>101000</v>
      </c>
      <c r="M303" s="45">
        <f ca="1">IFERROR(__xludf.DUMMYFUNCTION("IMPORTRANGE(""https://docs.google.com/spreadsheets/d/1MeEWN-I1oV_STSDYn1IFDPWt_1FKiwhDph83XaGc0o0/edit?usp=sharing"",""งบพรบ!DX68"")"),101000)</f>
        <v>101000</v>
      </c>
      <c r="N303" s="45">
        <f ca="1">IFERROR(__xludf.DUMMYFUNCTION("IMPORTRANGE(""https://docs.google.com/spreadsheets/d/1MeEWN-I1oV_STSDYn1IFDPWt_1FKiwhDph83XaGc0o0/edit?usp=sharing"",""งบพรบ!DZ68"")"),101000)</f>
        <v>101000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IFERROR(__xludf.DUMMYFUNCTION("IMPORTRANGE(""https://docs.google.com/spreadsheets/d/1MeEWN-I1oV_STSDYn1IFDPWt_1FKiwhDph83XaGc0o0/edit?usp=sharing"",""งบพรบ!DV68"")"),0)</f>
        <v>0</v>
      </c>
      <c r="M306" s="45">
        <f ca="1">IFERROR(__xludf.DUMMYFUNCTION("IMPORTRANGE(""https://docs.google.com/spreadsheets/d/1MeEWN-I1oV_STSDYn1IFDPWt_1FKiwhDph83XaGc0o0/edit?usp=sharing"",""งบพรบ!DY68"")"),0)</f>
        <v>0</v>
      </c>
      <c r="N306" s="45">
        <f ca="1">IFERROR(__xludf.DUMMYFUNCTION("IMPORTRANGE(""https://docs.google.com/spreadsheets/d/1MeEWN-I1oV_STSDYn1IFDPWt_1FKiwhDph83XaGc0o0/edit?usp=sharing"",""งบพรบ!EA68"")"),0)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IFERROR(__xludf.DUMMYFUNCTION("IMPORTRANGE(""https://docs.google.com/spreadsheets/d/1QqKyyYR6Q21VydFLVH3TRQUabQu_ym0Zz7PgGX0-kHA/edit?usp=sharing"",""แผน!ED68"")"),25)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IFERROR(__xludf.DUMMYFUNCTION("IMPORTRANGE(""https://docs.google.com/spreadsheets/d/1QqKyyYR6Q21VydFLVH3TRQUabQu_ym0Zz7PgGX0-kHA/edit?usp=sharing"",""แผน!ED68"")"),25)</f>
        <v>25</v>
      </c>
      <c r="J310" s="181">
        <v>25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IFERROR(__xludf.DUMMYFUNCTION("IMPORTRANGE(""https://docs.google.com/spreadsheets/d/1QqKyyYR6Q21VydFLVH3TRQUabQu_ym0Zz7PgGX0-kHA/edit?usp=sharing"",""แผน!ED68"")"),25)</f>
        <v>25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IFERROR(__xludf.DUMMYFUNCTION("IMPORTRANGE(""https://docs.google.com/spreadsheets/d/1QqKyyYR6Q21VydFLVH3TRQUabQu_ym0Zz7PgGX0-kHA/edit?usp=sharing"",""แผน!EE68"")"),5)</f>
        <v>5</v>
      </c>
      <c r="J312" s="181">
        <v>5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IFERROR(__xludf.DUMMYFUNCTION("IMPORTRANGE(""https://docs.google.com/spreadsheets/d/1MeEWN-I1oV_STSDYn1IFDPWt_1FKiwhDph83XaGc0o0/edit?usp=sharing"",""งบพรบ!EC68"")"),0)</f>
        <v>0</v>
      </c>
      <c r="M320" s="45">
        <f ca="1">IFERROR(__xludf.DUMMYFUNCTION("IMPORTRANGE(""https://docs.google.com/spreadsheets/d/1MeEWN-I1oV_STSDYn1IFDPWt_1FKiwhDph83XaGc0o0/edit?usp=sharing"",""งบพรบ!EH68"")"),0)</f>
        <v>0</v>
      </c>
      <c r="N320" s="45">
        <f ca="1">IFERROR(__xludf.DUMMYFUNCTION("IMPORTRANGE(""https://docs.google.com/spreadsheets/d/1MeEWN-I1oV_STSDYn1IFDPWt_1FKiwhDph83XaGc0o0/edit?usp=sharing"",""งบพรบ!EJ68"")"),0)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IFERROR(__xludf.DUMMYFUNCTION("IMPORTRANGE(""https://docs.google.com/spreadsheets/d/1MeEWN-I1oV_STSDYn1IFDPWt_1FKiwhDph83XaGc0o0/edit?usp=sharing"",""งบพรบ!EF68"")"),0)</f>
        <v>0</v>
      </c>
      <c r="M323" s="45">
        <f ca="1">IFERROR(__xludf.DUMMYFUNCTION("IMPORTRANGE(""https://docs.google.com/spreadsheets/d/1MeEWN-I1oV_STSDYn1IFDPWt_1FKiwhDph83XaGc0o0/edit?usp=sharing"",""งบพรบ!EI68"")"),0)</f>
        <v>0</v>
      </c>
      <c r="N323" s="45">
        <f ca="1">IFERROR(__xludf.DUMMYFUNCTION("IMPORTRANGE(""https://docs.google.com/spreadsheets/d/1MeEWN-I1oV_STSDYn1IFDPWt_1FKiwhDph83XaGc0o0/edit?usp=sharing"",""งบพรบ!EK68"")"),0)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IFERROR(__xludf.DUMMYFUNCTION("IMPORTRANGE(""https://docs.google.com/spreadsheets/d/1QqKyyYR6Q21VydFLVH3TRQUabQu_ym0Zz7PgGX0-kHA/edit?usp=sharing"",""แผน!EG68"")"),2100)</f>
        <v>2100</v>
      </c>
      <c r="J327" s="421">
        <f ca="1">J338+J341+J342+J343</f>
        <v>3543</v>
      </c>
      <c r="K327" s="422">
        <f ca="1">IF(I327&gt;0,J327*100/I327,0)</f>
        <v>168.71428571428572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170000</v>
      </c>
      <c r="M328" s="154">
        <f t="shared" ca="1" si="149"/>
        <v>172500</v>
      </c>
      <c r="N328" s="154">
        <f t="shared" ca="1" si="149"/>
        <v>126723</v>
      </c>
      <c r="O328" s="154">
        <f t="shared" ref="O328:O336" ca="1" si="150">IF(L328&gt;0,N328*100/L328,0)</f>
        <v>74.542941176470592</v>
      </c>
      <c r="P328" s="154">
        <f t="shared" ref="P328:P336" ca="1" si="151">IF(M328&gt;0,N328*100/M328,0)</f>
        <v>73.462608695652179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170000</v>
      </c>
      <c r="M330" s="45">
        <f t="shared" ca="1" si="152"/>
        <v>172500</v>
      </c>
      <c r="N330" s="45">
        <f t="shared" ca="1" si="152"/>
        <v>126723</v>
      </c>
      <c r="O330" s="45">
        <f t="shared" ca="1" si="150"/>
        <v>74.542941176470592</v>
      </c>
      <c r="P330" s="45">
        <f t="shared" ca="1" si="151"/>
        <v>73.462608695652179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172500</v>
      </c>
      <c r="N331" s="38">
        <f t="shared" ca="1" si="153"/>
        <v>126723</v>
      </c>
      <c r="O331" s="38">
        <f t="shared" ca="1" si="150"/>
        <v>74.542941176470592</v>
      </c>
      <c r="P331" s="38">
        <f t="shared" ca="1" si="151"/>
        <v>73.462608695652179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IFERROR(__xludf.DUMMYFUNCTION("IMPORTRANGE(""https://docs.google.com/spreadsheets/d/1MeEWN-I1oV_STSDYn1IFDPWt_1FKiwhDph83XaGc0o0/edit?usp=sharing"",""งบพรบ!EM68"")"),170000)</f>
        <v>170000</v>
      </c>
      <c r="M333" s="45">
        <f ca="1">IFERROR(__xludf.DUMMYFUNCTION("IMPORTRANGE(""https://docs.google.com/spreadsheets/d/1MeEWN-I1oV_STSDYn1IFDPWt_1FKiwhDph83XaGc0o0/edit?usp=sharing"",""งบพรบ!ER68"")"),172500)</f>
        <v>172500</v>
      </c>
      <c r="N333" s="45">
        <f ca="1">IFERROR(__xludf.DUMMYFUNCTION("IMPORTRANGE(""https://docs.google.com/spreadsheets/d/1MeEWN-I1oV_STSDYn1IFDPWt_1FKiwhDph83XaGc0o0/edit?usp=sharing"",""งบพรบ!ET68"")"),126723)</f>
        <v>126723</v>
      </c>
      <c r="O333" s="45">
        <f t="shared" ca="1" si="150"/>
        <v>74.542941176470592</v>
      </c>
      <c r="P333" s="45">
        <f t="shared" ca="1" si="151"/>
        <v>73.462608695652179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IFERROR(__xludf.DUMMYFUNCTION("IMPORTRANGE(""https://docs.google.com/spreadsheets/d/1MeEWN-I1oV_STSDYn1IFDPWt_1FKiwhDph83XaGc0o0/edit?usp=sharing"",""งบพรบ!EP68"")"),0)</f>
        <v>0</v>
      </c>
      <c r="M336" s="45">
        <f ca="1">IFERROR(__xludf.DUMMYFUNCTION("IMPORTRANGE(""https://docs.google.com/spreadsheets/d/1MeEWN-I1oV_STSDYn1IFDPWt_1FKiwhDph83XaGc0o0/edit?usp=sharing"",""งบพรบ!ES68"")"),0)</f>
        <v>0</v>
      </c>
      <c r="N336" s="45">
        <f ca="1">IFERROR(__xludf.DUMMYFUNCTION("IMPORTRANGE(""https://docs.google.com/spreadsheets/d/1MeEWN-I1oV_STSDYn1IFDPWt_1FKiwhDph83XaGc0o0/edit?usp=sharing"",""งบพรบ!EU68"")"),0)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IFERROR(__xludf.DUMMYFUNCTION("IMPORTRANGE(""https://docs.google.com/spreadsheets/d/1QqKyyYR6Q21VydFLVH3TRQUabQu_ym0Zz7PgGX0-kHA/edit?usp=sharing"",""แผน!EG68"")"),2100)</f>
        <v>2100</v>
      </c>
      <c r="J338" s="37">
        <f ca="1">IFERROR(__xludf.DUMMYFUNCTION("IMPORTRANGE(""https://docs.google.com/spreadsheets/d/1kVcqe37tkHyjCSG3S0O1AXqVkqjo8mSIZil3BcpIysc/edit?usp=sharing"",""ศูนย์!D68"")"),3204)</f>
        <v>3204</v>
      </c>
      <c r="K338" s="38">
        <f ca="1">IF(I338&gt;0,J338*100/I338,0)</f>
        <v>152.57142857142858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IFERROR(__xludf.DUMMYFUNCTION("IMPORTRANGE(""https://docs.google.com/spreadsheets/d/1QqKyyYR6Q21VydFLVH3TRQUabQu_ym0Zz7PgGX0-kHA/edit?usp=sharing"",""แผน!EH68"")"),6)</f>
        <v>6</v>
      </c>
      <c r="J340" s="37">
        <f ca="1">IFERROR(__xludf.DUMMYFUNCTION("IMPORTRANGE(""https://docs.google.com/spreadsheets/d/1kVcqe37tkHyjCSG3S0O1AXqVkqjo8mSIZil3BcpIysc/edit?usp=sharing"",""ศูนย์!E68"")"),6)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IFERROR(__xludf.DUMMYFUNCTION("IMPORTRANGE(""https://docs.google.com/spreadsheets/d/1kVcqe37tkHyjCSG3S0O1AXqVkqjo8mSIZil3BcpIysc/edit?usp=sharing"",""ศูนย์!F68"")"),339)</f>
        <v>339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IFERROR(__xludf.DUMMYFUNCTION("IMPORTRANGE(""https://docs.google.com/spreadsheets/d/1kVcqe37tkHyjCSG3S0O1AXqVkqjo8mSIZil3BcpIysc/edit?usp=sharing"",""ศูนย์!G68"")"),0)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IFERROR(__xludf.DUMMYFUNCTION("IMPORTRANGE(""https://docs.google.com/spreadsheets/d/1kVcqe37tkHyjCSG3S0O1AXqVkqjo8mSIZil3BcpIysc/edit?usp=sharing"",""ศูนย์!H68"")"),0)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773600</v>
      </c>
      <c r="M345" s="154">
        <f t="shared" ca="1" si="155"/>
        <v>858600</v>
      </c>
      <c r="N345" s="154">
        <f t="shared" ca="1" si="155"/>
        <v>565841</v>
      </c>
      <c r="O345" s="154">
        <f t="shared" ref="O345:O353" ca="1" si="156">IF(L345&gt;0,N345*100/L345,0)</f>
        <v>73.143872802481908</v>
      </c>
      <c r="P345" s="154">
        <f t="shared" ref="P345:P353" ca="1" si="157">IF(M345&gt;0,N345*100/M345,0)</f>
        <v>65.9027486606103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773600</v>
      </c>
      <c r="M347" s="45">
        <f t="shared" ca="1" si="158"/>
        <v>858600</v>
      </c>
      <c r="N347" s="45">
        <f t="shared" ca="1" si="158"/>
        <v>565841</v>
      </c>
      <c r="O347" s="45">
        <f t="shared" ca="1" si="156"/>
        <v>73.143872802481908</v>
      </c>
      <c r="P347" s="45">
        <f t="shared" ca="1" si="157"/>
        <v>65.9027486606103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720800</v>
      </c>
      <c r="M348" s="38">
        <f t="shared" ca="1" si="159"/>
        <v>805800</v>
      </c>
      <c r="N348" s="38">
        <f t="shared" ca="1" si="159"/>
        <v>513041</v>
      </c>
      <c r="O348" s="38">
        <f t="shared" ca="1" si="156"/>
        <v>71.176609322974471</v>
      </c>
      <c r="P348" s="38">
        <f t="shared" ca="1" si="157"/>
        <v>63.668528170761974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IFERROR(__xludf.DUMMYFUNCTION("IMPORTRANGE(""https://docs.google.com/spreadsheets/d/1MeEWN-I1oV_STSDYn1IFDPWt_1FKiwhDph83XaGc0o0/edit?usp=sharing"",""งบพรบ!EW68"")"),720800)</f>
        <v>720800</v>
      </c>
      <c r="M350" s="45">
        <f ca="1">IFERROR(__xludf.DUMMYFUNCTION("IMPORTRANGE(""https://docs.google.com/spreadsheets/d/1MeEWN-I1oV_STSDYn1IFDPWt_1FKiwhDph83XaGc0o0/edit?usp=sharing"",""งบพรบ!FB68"")"),805800)</f>
        <v>805800</v>
      </c>
      <c r="N350" s="45">
        <f ca="1">IFERROR(__xludf.DUMMYFUNCTION("IMPORTRANGE(""https://docs.google.com/spreadsheets/d/1MeEWN-I1oV_STSDYn1IFDPWt_1FKiwhDph83XaGc0o0/edit?usp=sharing"",""งบพรบ!FD68"")"),513041)</f>
        <v>513041</v>
      </c>
      <c r="O350" s="45">
        <f t="shared" ca="1" si="156"/>
        <v>71.176609322974471</v>
      </c>
      <c r="P350" s="45">
        <f t="shared" ca="1" si="157"/>
        <v>63.668528170761974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52800</v>
      </c>
      <c r="M351" s="38">
        <f t="shared" ca="1" si="160"/>
        <v>52800</v>
      </c>
      <c r="N351" s="38">
        <f t="shared" ca="1" si="160"/>
        <v>52800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IFERROR(__xludf.DUMMYFUNCTION("IMPORTRANGE(""https://docs.google.com/spreadsheets/d/1MeEWN-I1oV_STSDYn1IFDPWt_1FKiwhDph83XaGc0o0/edit?usp=sharing"",""งบพรบ!EZ68"")"),52800)</f>
        <v>52800</v>
      </c>
      <c r="M353" s="45">
        <f ca="1">IFERROR(__xludf.DUMMYFUNCTION("IMPORTRANGE(""https://docs.google.com/spreadsheets/d/1MeEWN-I1oV_STSDYn1IFDPWt_1FKiwhDph83XaGc0o0/edit?usp=sharing"",""งบพรบ!FC68"")"),52800)</f>
        <v>52800</v>
      </c>
      <c r="N353" s="45">
        <f ca="1">IFERROR(__xludf.DUMMYFUNCTION("IMPORTRANGE(""https://docs.google.com/spreadsheets/d/1MeEWN-I1oV_STSDYn1IFDPWt_1FKiwhDph83XaGc0o0/edit?usp=sharing"",""งบพรบ!FE68"")"),52800)</f>
        <v>52800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IFERROR(__xludf.DUMMYFUNCTION("IMPORTRANGE(""https://docs.google.com/spreadsheets/d/1QqKyyYR6Q21VydFLVH3TRQUabQu_ym0Zz7PgGX0-kHA/edit?usp=sharing"",""แผน!EP68"")"),370)</f>
        <v>370</v>
      </c>
      <c r="J355" s="438">
        <f ca="1">J362</f>
        <v>209</v>
      </c>
      <c r="K355" s="439">
        <f ca="1">IF(I355&gt;0,J355*100/I355,0)</f>
        <v>56.486486486486484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IFERROR(__xludf.DUMMYFUNCTION("IMPORTRANGE(""https://docs.google.com/spreadsheets/d/1XWAQStnk-4SwqDmLtmXYiTMKHgktTP8We1SCoS47DrQ/edit?usp=sharing"",""จัดที่ดิน!W68"")"),355)</f>
        <v>355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IFERROR(__xludf.DUMMYFUNCTION("IMPORTRANGE(""https://docs.google.com/spreadsheets/d/1QqKyyYR6Q21VydFLVH3TRQUabQu_ym0Zz7PgGX0-kHA/edit?usp=sharing"",""แผน!EO68"")"),4000)</f>
        <v>4000</v>
      </c>
      <c r="J359" s="37">
        <f ca="1">IFERROR(__xludf.DUMMYFUNCTION("IMPORTRANGE(""https://docs.google.com/spreadsheets/d/1XWAQStnk-4SwqDmLtmXYiTMKHgktTP8We1SCoS47DrQ/edit?usp=sharing"",""จัดที่ดิน!X68"")"),4042.9)</f>
        <v>4042.9</v>
      </c>
      <c r="K359" s="38">
        <f t="shared" ca="1" si="161"/>
        <v>101.07250000000001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IFERROR(__xludf.DUMMYFUNCTION("IMPORTRANGE(""https://docs.google.com/spreadsheets/d/1QqKyyYR6Q21VydFLVH3TRQUabQu_ym0Zz7PgGX0-kHA/edit?usp=sharing"",""แผน!EP68"")"),370)</f>
        <v>370</v>
      </c>
      <c r="J360" s="37">
        <f ca="1">IFERROR(__xludf.DUMMYFUNCTION("IMPORTRANGE(""https://docs.google.com/spreadsheets/d/1XWAQStnk-4SwqDmLtmXYiTMKHgktTP8We1SCoS47DrQ/edit?usp=sharing"",""จัดที่ดิน!Y68"")"),307)</f>
        <v>307</v>
      </c>
      <c r="K360" s="38">
        <f t="shared" ca="1" si="161"/>
        <v>82.972972972972968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IFERROR(__xludf.DUMMYFUNCTION("IMPORTRANGE(""https://docs.google.com/spreadsheets/d/1XWAQStnk-4SwqDmLtmXYiTMKHgktTP8We1SCoS47DrQ/edit?usp=sharing"",""จัดที่ดิน!Z68"")"),3558.73)</f>
        <v>3558.73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IFERROR(__xludf.DUMMYFUNCTION("IMPORTRANGE(""https://docs.google.com/spreadsheets/d/1QqKyyYR6Q21VydFLVH3TRQUabQu_ym0Zz7PgGX0-kHA/edit?usp=sharing"",""แผน!EP68"")"),370)</f>
        <v>370</v>
      </c>
      <c r="J362" s="37">
        <f ca="1">IFERROR(__xludf.DUMMYFUNCTION("IMPORTRANGE(""https://docs.google.com/spreadsheets/d/1XWAQStnk-4SwqDmLtmXYiTMKHgktTP8We1SCoS47DrQ/edit?usp=sharing"",""จัดที่ดิน!AA68"")"),209)</f>
        <v>209</v>
      </c>
      <c r="K362" s="38">
        <f t="shared" ca="1" si="161"/>
        <v>56.486486486486484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IFERROR(__xludf.DUMMYFUNCTION("IMPORTRANGE(""https://docs.google.com/spreadsheets/d/1XWAQStnk-4SwqDmLtmXYiTMKHgktTP8We1SCoS47DrQ/edit?usp=sharing"",""จัดที่ดิน!AB68"")"),2342.43)</f>
        <v>2342.4299999999998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500</v>
      </c>
      <c r="J364" s="452">
        <f t="shared" ca="1" si="162"/>
        <v>513</v>
      </c>
      <c r="K364" s="453">
        <f t="shared" ca="1" si="161"/>
        <v>102.6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IFERROR(__xludf.DUMMYFUNCTION("IMPORTRANGE(""https://docs.google.com/spreadsheets/d/1QqKyyYR6Q21VydFLVH3TRQUabQu_ym0Zz7PgGX0-kHA/edit?usp=sharing"",""แผน!EJ68"")"),20)</f>
        <v>20</v>
      </c>
      <c r="J365" s="462">
        <f ca="1">J372</f>
        <v>14</v>
      </c>
      <c r="K365" s="463">
        <f t="shared" ca="1" si="161"/>
        <v>70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IFERROR(__xludf.DUMMYFUNCTION("IMPORTRANGE(""https://docs.google.com/spreadsheets/d/1XWAQStnk-4SwqDmLtmXYiTMKHgktTP8We1SCoS47DrQ/edit?usp=sharing"",""จัดที่ดิน!E68"")"),56)</f>
        <v>56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IFERROR(__xludf.DUMMYFUNCTION("IMPORTRANGE(""https://docs.google.com/spreadsheets/d/1QqKyyYR6Q21VydFLVH3TRQUabQu_ym0Zz7PgGX0-kHA/edit?usp=sharing"",""แผน!EI68"")"),500)</f>
        <v>500</v>
      </c>
      <c r="J369" s="37">
        <f ca="1">IFERROR(__xludf.DUMMYFUNCTION("IMPORTRANGE(""https://docs.google.com/spreadsheets/d/1XWAQStnk-4SwqDmLtmXYiTMKHgktTP8We1SCoS47DrQ/edit?usp=sharing"",""จัดที่ดิน!F68"")"),762.13)</f>
        <v>762.13</v>
      </c>
      <c r="K369" s="38">
        <f t="shared" ca="1" si="163"/>
        <v>152.42599999999999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IFERROR(__xludf.DUMMYFUNCTION("IMPORTRANGE(""https://docs.google.com/spreadsheets/d/1QqKyyYR6Q21VydFLVH3TRQUabQu_ym0Zz7PgGX0-kHA/edit?usp=sharing"",""แผน!EJ68"")"),20)</f>
        <v>20</v>
      </c>
      <c r="J370" s="37">
        <f ca="1">IFERROR(__xludf.DUMMYFUNCTION("IMPORTRANGE(""https://docs.google.com/spreadsheets/d/1XWAQStnk-4SwqDmLtmXYiTMKHgktTP8We1SCoS47DrQ/edit?usp=sharing"",""จัดที่ดิน!G68"")"),42)</f>
        <v>42</v>
      </c>
      <c r="K370" s="38">
        <f t="shared" ca="1" si="163"/>
        <v>210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IFERROR(__xludf.DUMMYFUNCTION("IMPORTRANGE(""https://docs.google.com/spreadsheets/d/1XWAQStnk-4SwqDmLtmXYiTMKHgktTP8We1SCoS47DrQ/edit?usp=sharing"",""จัดที่ดิน!H68"")"),754.07)</f>
        <v>754.07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IFERROR(__xludf.DUMMYFUNCTION("IMPORTRANGE(""https://docs.google.com/spreadsheets/d/1QqKyyYR6Q21VydFLVH3TRQUabQu_ym0Zz7PgGX0-kHA/edit?usp=sharing"",""แผน!EJ68"")"),20)</f>
        <v>20</v>
      </c>
      <c r="J372" s="37">
        <f ca="1">IFERROR(__xludf.DUMMYFUNCTION("IMPORTRANGE(""https://docs.google.com/spreadsheets/d/1XWAQStnk-4SwqDmLtmXYiTMKHgktTP8We1SCoS47DrQ/edit?usp=sharing"",""จัดที่ดิน!I68"")"),14)</f>
        <v>14</v>
      </c>
      <c r="K372" s="38">
        <f t="shared" ca="1" si="163"/>
        <v>70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IFERROR(__xludf.DUMMYFUNCTION("IMPORTRANGE(""https://docs.google.com/spreadsheets/d/1XWAQStnk-4SwqDmLtmXYiTMKHgktTP8We1SCoS47DrQ/edit?usp=sharing"",""จัดที่ดิน!J68"")"),151.61)</f>
        <v>151.61000000000001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IFERROR(__xludf.DUMMYFUNCTION("IMPORTRANGE(""https://docs.google.com/spreadsheets/d/1QqKyyYR6Q21VydFLVH3TRQUabQu_ym0Zz7PgGX0-kHA/edit?usp=sharing"",""แผน!EU68"")"),480)</f>
        <v>480</v>
      </c>
      <c r="J374" s="462">
        <f ca="1">J381</f>
        <v>499</v>
      </c>
      <c r="K374" s="463">
        <f t="shared" ca="1" si="163"/>
        <v>103.95833333333333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IFERROR(__xludf.DUMMYFUNCTION("IMPORTRANGE(""https://docs.google.com/spreadsheets/d/1XWAQStnk-4SwqDmLtmXYiTMKHgktTP8We1SCoS47DrQ/edit?usp=sharing"",""จัดที่ดิน!AH68"")"),299)</f>
        <v>299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IFERROR(__xludf.DUMMYFUNCTION("IMPORTRANGE(""https://docs.google.com/spreadsheets/d/1QqKyyYR6Q21VydFLVH3TRQUabQu_ym0Zz7PgGX0-kHA/edit?usp=sharing"",""แผน!ET68"")"),3500)</f>
        <v>3500</v>
      </c>
      <c r="J378" s="37">
        <f ca="1">IFERROR(__xludf.DUMMYFUNCTION("IMPORTRANGE(""https://docs.google.com/spreadsheets/d/1XWAQStnk-4SwqDmLtmXYiTMKHgktTP8We1SCoS47DrQ/edit?usp=sharing"",""จัดที่ดิน!AI68"")"),3280.77)</f>
        <v>3280.77</v>
      </c>
      <c r="K378" s="38">
        <f t="shared" ca="1" si="164"/>
        <v>93.736285714285714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IFERROR(__xludf.DUMMYFUNCTION("IMPORTRANGE(""https://docs.google.com/spreadsheets/d/1QqKyyYR6Q21VydFLVH3TRQUabQu_ym0Zz7PgGX0-kHA/edit?usp=sharing"",""แผน!EU68"")"),480)</f>
        <v>480</v>
      </c>
      <c r="J379" s="37">
        <f ca="1">IFERROR(__xludf.DUMMYFUNCTION("IMPORTRANGE(""https://docs.google.com/spreadsheets/d/1XWAQStnk-4SwqDmLtmXYiTMKHgktTP8We1SCoS47DrQ/edit?usp=sharing"",""จัดที่ดิน!AJ68"")"),570)</f>
        <v>570</v>
      </c>
      <c r="K379" s="38">
        <f t="shared" ca="1" si="164"/>
        <v>118.75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IFERROR(__xludf.DUMMYFUNCTION("IMPORTRANGE(""https://docs.google.com/spreadsheets/d/1XWAQStnk-4SwqDmLtmXYiTMKHgktTP8We1SCoS47DrQ/edit?usp=sharing"",""จัดที่ดิน!AK68"")"),7854.05)</f>
        <v>7854.05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IFERROR(__xludf.DUMMYFUNCTION("IMPORTRANGE(""https://docs.google.com/spreadsheets/d/1QqKyyYR6Q21VydFLVH3TRQUabQu_ym0Zz7PgGX0-kHA/edit?usp=sharing"",""แผน!EU68"")"),480)</f>
        <v>480</v>
      </c>
      <c r="J381" s="37">
        <f ca="1">IFERROR(__xludf.DUMMYFUNCTION("IMPORTRANGE(""https://docs.google.com/spreadsheets/d/1XWAQStnk-4SwqDmLtmXYiTMKHgktTP8We1SCoS47DrQ/edit?usp=sharing"",""จัดที่ดิน!AL68"")"),499)</f>
        <v>499</v>
      </c>
      <c r="K381" s="38">
        <f t="shared" ca="1" si="164"/>
        <v>103.95833333333333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IFERROR(__xludf.DUMMYFUNCTION("IMPORTRANGE(""https://docs.google.com/spreadsheets/d/1XWAQStnk-4SwqDmLtmXYiTMKHgktTP8We1SCoS47DrQ/edit?usp=sharing"",""จัดที่ดิน!AM68"")"),7230.44)</f>
        <v>7230.44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IFERROR(__xludf.DUMMYFUNCTION("IMPORTRANGE(""https://docs.google.com/spreadsheets/d/1QqKyyYR6Q21VydFLVH3TRQUabQu_ym0Zz7PgGX0-kHA/edit?usp=sharing"",""แผน!EW68"")"),10)</f>
        <v>10</v>
      </c>
      <c r="J385" s="365">
        <f ca="1">IFERROR(__xludf.DUMMYFUNCTION("IMPORTRANGE(""https://docs.google.com/spreadsheets/d/1XWAQStnk-4SwqDmLtmXYiTMKHgktTP8We1SCoS47DrQ/edit?usp=sharing"",""จัดที่ดิน!AP68"")"),20)</f>
        <v>20</v>
      </c>
      <c r="K385" s="472">
        <f ca="1">IF(I385&gt;0,J385*100/I385,0)</f>
        <v>200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IFERROR(__xludf.DUMMYFUNCTION("IMPORTRANGE(""https://docs.google.com/spreadsheets/d/1MeEWN-I1oV_STSDYn1IFDPWt_1FKiwhDph83XaGc0o0/edit?usp=sharing"",""งบพรบ!FG68"")"),0)</f>
        <v>0</v>
      </c>
      <c r="M394" s="45">
        <f ca="1">IFERROR(__xludf.DUMMYFUNCTION("IMPORTRANGE(""https://docs.google.com/spreadsheets/d/1MeEWN-I1oV_STSDYn1IFDPWt_1FKiwhDph83XaGc0o0/edit?usp=sharing"",""งบพรบ!FL68"")"),0)</f>
        <v>0</v>
      </c>
      <c r="N394" s="45">
        <f ca="1">IFERROR(__xludf.DUMMYFUNCTION("IMPORTRANGE(""https://docs.google.com/spreadsheets/d/1MeEWN-I1oV_STSDYn1IFDPWt_1FKiwhDph83XaGc0o0/edit?usp=sharing"",""งบพรบ!FN68"")"),0)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IFERROR(__xludf.DUMMYFUNCTION("IMPORTRANGE(""https://docs.google.com/spreadsheets/d/1MeEWN-I1oV_STSDYn1IFDPWt_1FKiwhDph83XaGc0o0/edit?usp=sharing"",""งบพรบ!FJ68"")"),0)</f>
        <v>0</v>
      </c>
      <c r="M397" s="45">
        <f ca="1">IFERROR(__xludf.DUMMYFUNCTION("IMPORTRANGE(""https://docs.google.com/spreadsheets/d/1MeEWN-I1oV_STSDYn1IFDPWt_1FKiwhDph83XaGc0o0/edit?usp=sharing"",""งบพรบ!FM68"")"),0)</f>
        <v>0</v>
      </c>
      <c r="N397" s="45">
        <f ca="1">IFERROR(__xludf.DUMMYFUNCTION("IMPORTRANGE(""https://docs.google.com/spreadsheets/d/1MeEWN-I1oV_STSDYn1IFDPWt_1FKiwhDph83XaGc0o0/edit?usp=sharing"",""งบพรบ!FO68"")"),0)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IFERROR(__xludf.DUMMYFUNCTION("IMPORTRANGE(""https://docs.google.com/spreadsheets/d/1MeEWN-I1oV_STSDYn1IFDPWt_1FKiwhDph83XaGc0o0/edit?usp=sharing"",""งบพรบ!FQ68"")"),0)</f>
        <v>0</v>
      </c>
      <c r="M407" s="45">
        <f ca="1">IFERROR(__xludf.DUMMYFUNCTION("IMPORTRANGE(""https://docs.google.com/spreadsheets/d/1MeEWN-I1oV_STSDYn1IFDPWt_1FKiwhDph83XaGc0o0/edit?usp=sharing"",""งบพรบ!FV68"")"),0)</f>
        <v>0</v>
      </c>
      <c r="N407" s="45">
        <f ca="1">IFERROR(__xludf.DUMMYFUNCTION("IMPORTRANGE(""https://docs.google.com/spreadsheets/d/1MeEWN-I1oV_STSDYn1IFDPWt_1FKiwhDph83XaGc0o0/edit?usp=sharing"",""งบพรบ!FX68"")"),0)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IFERROR(__xludf.DUMMYFUNCTION("IMPORTRANGE(""https://docs.google.com/spreadsheets/d/1MeEWN-I1oV_STSDYn1IFDPWt_1FKiwhDph83XaGc0o0/edit?usp=sharing"",""งบพรบ!FT68"")"),0)</f>
        <v>0</v>
      </c>
      <c r="M410" s="45">
        <f ca="1">IFERROR(__xludf.DUMMYFUNCTION("IMPORTRANGE(""https://docs.google.com/spreadsheets/d/1MeEWN-I1oV_STSDYn1IFDPWt_1FKiwhDph83XaGc0o0/edit?usp=sharing"",""งบพรบ!FW68"")"),0)</f>
        <v>0</v>
      </c>
      <c r="N410" s="45">
        <f ca="1">IFERROR(__xludf.DUMMYFUNCTION("IMPORTRANGE(""https://docs.google.com/spreadsheets/d/1MeEWN-I1oV_STSDYn1IFDPWt_1FKiwhDph83XaGc0o0/edit?usp=sharing"",""งบพรบ!FY68"")"),0)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2538240</v>
      </c>
      <c r="M414" s="518">
        <f t="shared" ca="1" si="181"/>
        <v>2530140</v>
      </c>
      <c r="N414" s="518">
        <f t="shared" si="181"/>
        <v>1226230</v>
      </c>
      <c r="O414" s="518">
        <f ca="1">IF(L414&gt;0,N414*100/L414,0)</f>
        <v>48.310246469994958</v>
      </c>
      <c r="P414" s="518">
        <f ca="1">IF(M414&gt;0,N414*100/M414,0)</f>
        <v>48.464907080240621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70</v>
      </c>
      <c r="J417" s="533">
        <f t="shared" ca="1" si="182"/>
        <v>70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233500</v>
      </c>
      <c r="M419" s="154">
        <f t="shared" ca="1" si="184"/>
        <v>225400</v>
      </c>
      <c r="N419" s="154">
        <f t="shared" si="184"/>
        <v>225400</v>
      </c>
      <c r="O419" s="154">
        <f t="shared" ref="O419:O424" ca="1" si="185">IF(L419&gt;0,N419*100/L419,0)</f>
        <v>96.531049250535332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233500</v>
      </c>
      <c r="M421" s="45">
        <f t="shared" ca="1" si="187"/>
        <v>225400</v>
      </c>
      <c r="N421" s="45">
        <f t="shared" si="187"/>
        <v>225400</v>
      </c>
      <c r="O421" s="45">
        <f t="shared" ca="1" si="185"/>
        <v>96.531049250535332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233500</v>
      </c>
      <c r="M422" s="38">
        <f t="shared" ca="1" si="188"/>
        <v>225400</v>
      </c>
      <c r="N422" s="38">
        <f t="shared" si="188"/>
        <v>225400</v>
      </c>
      <c r="O422" s="38">
        <f t="shared" ca="1" si="185"/>
        <v>96.531049250535332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IFERROR(__xludf.DUMMYFUNCTION("IMPORTRANGE(""https://docs.google.com/spreadsheets/d/1QqKyyYR6Q21VydFLVH3TRQUabQu_ym0Zz7PgGX0-kHA/edit?usp=sharing"",""แผน!EY68"")"),233500)</f>
        <v>233500</v>
      </c>
      <c r="M424" s="45">
        <f ca="1">L424-8100</f>
        <v>225400</v>
      </c>
      <c r="N424" s="45">
        <f>N425+N426+N427+N428</f>
        <v>225400</v>
      </c>
      <c r="O424" s="45">
        <f t="shared" ca="1" si="185"/>
        <v>96.531049250535332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182540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42860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70</v>
      </c>
      <c r="J433" s="190">
        <f ca="1">IF(AND(J435=I435,J437=I437,J439=I439),I437+I439,IF(AND(J435=I437,J437=I437),I437,IF(AND(J435=I439,J439=I439),I439,0)))</f>
        <v>70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IFERROR(__xludf.DUMMYFUNCTION("IMPORTRANGE(""https://docs.google.com/spreadsheets/d/1QqKyyYR6Q21VydFLVH3TRQUabQu_ym0Zz7PgGX0-kHA/edit?usp=sharing"",""แผน!FC68"")"),70)</f>
        <v>70</v>
      </c>
      <c r="J435" s="546">
        <v>70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IFERROR(__xludf.DUMMYFUNCTION("IMPORTRANGE(""https://docs.google.com/spreadsheets/d/1QqKyyYR6Q21VydFLVH3TRQUabQu_ym0Zz7PgGX0-kHA/edit?usp=sharing"",""แผน!FD68"")"),40)</f>
        <v>40</v>
      </c>
      <c r="J437" s="546">
        <v>40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IFERROR(__xludf.DUMMYFUNCTION("IMPORTRANGE(""https://docs.google.com/spreadsheets/d/1QqKyyYR6Q21VydFLVH3TRQUabQu_ym0Zz7PgGX0-kHA/edit?usp=sharing"",""แผน!FE68"")"),1)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IFERROR(__xludf.DUMMYFUNCTION("IMPORTRANGE(""https://docs.google.com/spreadsheets/d/1QqKyyYR6Q21VydFLVH3TRQUabQu_ym0Zz7PgGX0-kHA/edit?usp=sharing"",""แผน!FF68"")"),30)</f>
        <v>30</v>
      </c>
      <c r="J439" s="546">
        <v>30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40</v>
      </c>
      <c r="J442" s="552">
        <f t="shared" si="195"/>
        <v>40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65</v>
      </c>
      <c r="J443" s="533">
        <f t="shared" si="196"/>
        <v>65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312380</v>
      </c>
      <c r="M444" s="191">
        <f t="shared" ca="1" si="197"/>
        <v>312380</v>
      </c>
      <c r="N444" s="191">
        <f t="shared" si="197"/>
        <v>237706</v>
      </c>
      <c r="O444" s="191">
        <f t="shared" ref="O444:O449" ca="1" si="198">IF(L444&gt;0,N444*100/L444,0)</f>
        <v>76.095140533965036</v>
      </c>
      <c r="P444" s="191">
        <f t="shared" ref="P444:P449" ca="1" si="199">IF(M444&gt;0,N444*100/M444,0)</f>
        <v>76.095140533965036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312380</v>
      </c>
      <c r="M446" s="45">
        <f t="shared" ca="1" si="200"/>
        <v>312380</v>
      </c>
      <c r="N446" s="45">
        <f t="shared" si="200"/>
        <v>237706</v>
      </c>
      <c r="O446" s="45">
        <f t="shared" ca="1" si="198"/>
        <v>76.095140533965036</v>
      </c>
      <c r="P446" s="45">
        <f t="shared" ca="1" si="199"/>
        <v>76.095140533965036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312380</v>
      </c>
      <c r="M447" s="38">
        <f t="shared" ca="1" si="201"/>
        <v>312380</v>
      </c>
      <c r="N447" s="38">
        <f t="shared" si="201"/>
        <v>237706</v>
      </c>
      <c r="O447" s="38">
        <f t="shared" ca="1" si="198"/>
        <v>76.095140533965036</v>
      </c>
      <c r="P447" s="38">
        <f t="shared" ca="1" si="199"/>
        <v>76.095140533965036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IFERROR(__xludf.DUMMYFUNCTION("IMPORTRANGE(""https://docs.google.com/spreadsheets/d/1QqKyyYR6Q21VydFLVH3TRQUabQu_ym0Zz7PgGX0-kHA/edit?usp=sharing"",""แผน!FJ68"")"),312380)</f>
        <v>312380</v>
      </c>
      <c r="M449" s="45">
        <f ca="1">L449</f>
        <v>312380</v>
      </c>
      <c r="N449" s="45">
        <f>N450+N451+N452+N453</f>
        <v>237706</v>
      </c>
      <c r="O449" s="45">
        <f t="shared" ca="1" si="198"/>
        <v>76.095140533965036</v>
      </c>
      <c r="P449" s="45">
        <f t="shared" ca="1" si="199"/>
        <v>76.095140533965036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55570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75500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103146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3490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IFERROR(__xludf.DUMMYFUNCTION("IMPORTRANGE(""https://docs.google.com/spreadsheets/d/1QqKyyYR6Q21VydFLVH3TRQUabQu_ym0Zz7PgGX0-kHA/edit?usp=sharing"",""แผน!FN68"")"),40)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IFERROR(__xludf.DUMMYFUNCTION("IMPORTRANGE(""https://docs.google.com/spreadsheets/d/1QqKyyYR6Q21VydFLVH3TRQUabQu_ym0Zz7PgGX0-kHA/edit?usp=sharing"",""แผน!FO68"")"),65)</f>
        <v>65</v>
      </c>
      <c r="J462" s="181">
        <v>65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IFERROR(__xludf.DUMMYFUNCTION("IMPORTRANGE(""https://docs.google.com/spreadsheets/d/1QqKyyYR6Q21VydFLVH3TRQUabQu_ym0Zz7PgGX0-kHA/edit?usp=sharing"",""แผน!FO68"")"),65)</f>
        <v>65</v>
      </c>
      <c r="J463" s="181">
        <v>65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IFERROR(__xludf.DUMMYFUNCTION("IMPORTRANGE(""https://docs.google.com/spreadsheets/d/1QqKyyYR6Q21VydFLVH3TRQUabQu_ym0Zz7PgGX0-kHA/edit?usp=sharing"",""แผน!FN68"")"),40)</f>
        <v>40</v>
      </c>
      <c r="J464" s="181">
        <v>40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IFERROR(__xludf.DUMMYFUNCTION("IMPORTRANGE(""https://docs.google.com/spreadsheets/d/1QqKyyYR6Q21VydFLVH3TRQUabQu_ym0Zz7PgGX0-kHA/edit?usp=sharing"",""แผน!FX68"")"),131)</f>
        <v>131</v>
      </c>
      <c r="J465" s="552">
        <f>J485+J489+J492</f>
        <v>131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IFERROR(__xludf.DUMMYFUNCTION("IMPORTRANGE(""https://docs.google.com/spreadsheets/d/1QqKyyYR6Q21VydFLVH3TRQUabQu_ym0Zz7PgGX0-kHA/edit?usp=sharing"",""แผน!FW68"")"),1300)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1166488</v>
      </c>
      <c r="M467" s="191">
        <f t="shared" ca="1" si="206"/>
        <v>1166488</v>
      </c>
      <c r="N467" s="191">
        <f t="shared" si="206"/>
        <v>263232</v>
      </c>
      <c r="O467" s="191">
        <f t="shared" ref="O467:O472" ca="1" si="207">IF(L467&gt;0,N467*100/L467,0)</f>
        <v>22.566198709288052</v>
      </c>
      <c r="P467" s="191">
        <f t="shared" ref="P467:P472" ca="1" si="208">IF(M467&gt;0,N467*100/M467,0)</f>
        <v>22.566198709288052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1166488</v>
      </c>
      <c r="M469" s="45">
        <f t="shared" ca="1" si="209"/>
        <v>1166488</v>
      </c>
      <c r="N469" s="45">
        <f t="shared" si="209"/>
        <v>263232</v>
      </c>
      <c r="O469" s="45">
        <f t="shared" ca="1" si="207"/>
        <v>22.566198709288052</v>
      </c>
      <c r="P469" s="45">
        <f t="shared" ca="1" si="208"/>
        <v>22.566198709288052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1166488</v>
      </c>
      <c r="M470" s="38">
        <f t="shared" ca="1" si="210"/>
        <v>1166488</v>
      </c>
      <c r="N470" s="38">
        <f t="shared" si="210"/>
        <v>263232</v>
      </c>
      <c r="O470" s="38">
        <f t="shared" ca="1" si="207"/>
        <v>22.566198709288052</v>
      </c>
      <c r="P470" s="38">
        <f t="shared" ca="1" si="208"/>
        <v>22.566198709288052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IFERROR(__xludf.DUMMYFUNCTION("IMPORTRANGE(""https://docs.google.com/spreadsheets/d/1QqKyyYR6Q21VydFLVH3TRQUabQu_ym0Zz7PgGX0-kHA/edit?usp=sharing"",""แผน!FS68"")"),1166488)</f>
        <v>1166488</v>
      </c>
      <c r="M472" s="45">
        <f ca="1">L472</f>
        <v>1166488</v>
      </c>
      <c r="N472" s="45">
        <f>N473+N474+N475+N476</f>
        <v>263232</v>
      </c>
      <c r="O472" s="45">
        <f t="shared" ca="1" si="207"/>
        <v>22.566198709288052</v>
      </c>
      <c r="P472" s="45">
        <f t="shared" ca="1" si="208"/>
        <v>22.566198709288052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151800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104000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7432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IFERROR(__xludf.DUMMYFUNCTION("IMPORTRANGE(""https://docs.google.com/spreadsheets/d/1QqKyyYR6Q21VydFLVH3TRQUabQu_ym0Zz7PgGX0-kHA/edit?usp=sharing"",""แผน!FY68"")"),1170)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IFERROR(__xludf.DUMMYFUNCTION("IMPORTRANGE(""https://docs.google.com/spreadsheets/d/1QqKyyYR6Q21VydFLVH3TRQUabQu_ym0Zz7PgGX0-kHA/edit?usp=sharing"",""แผน!FZ68"")"),117)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IFERROR(__xludf.DUMMYFUNCTION("IMPORTRANGE(""https://docs.google.com/spreadsheets/d/1QqKyyYR6Q21VydFLVH3TRQUabQu_ym0Zz7PgGX0-kHA/edit?usp=sharing"",""แผน!GA68"")"),130)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IFERROR(__xludf.DUMMYFUNCTION("IMPORTRANGE(""https://docs.google.com/spreadsheets/d/1QqKyyYR6Q21VydFLVH3TRQUabQu_ym0Zz7PgGX0-kHA/edit?usp=sharing"",""แผน!GB68"")"),13)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IFERROR(__xludf.DUMMYFUNCTION("IMPORTRANGE(""https://docs.google.com/spreadsheets/d/1QqKyyYR6Q21VydFLVH3TRQUabQu_ym0Zz7PgGX0-kHA/edit?usp=sharing"",""แผน!FY68"")"),1170)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IFERROR(__xludf.DUMMYFUNCTION("IMPORTRANGE(""https://docs.google.com/spreadsheets/d/1QqKyyYR6Q21VydFLVH3TRQUabQu_ym0Zz7PgGX0-kHA/edit?usp=sharing"",""แผน!GA68"")"),130)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36182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451282</v>
      </c>
      <c r="M544" s="154">
        <f t="shared" ca="1" si="236"/>
        <v>451282</v>
      </c>
      <c r="N544" s="154">
        <f t="shared" si="236"/>
        <v>211706</v>
      </c>
      <c r="O544" s="154">
        <f t="shared" ref="O544:O549" ca="1" si="237">IF(L544&gt;0,N544*100/L544,0)</f>
        <v>46.912130330923901</v>
      </c>
      <c r="P544" s="154">
        <f t="shared" ref="P544:P549" ca="1" si="238">IF(M544&gt;0,N544*100/M544,0)</f>
        <v>46.912130330923901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451282</v>
      </c>
      <c r="M546" s="45">
        <f t="shared" ca="1" si="240"/>
        <v>451282</v>
      </c>
      <c r="N546" s="45">
        <f t="shared" si="240"/>
        <v>211706</v>
      </c>
      <c r="O546" s="45">
        <f t="shared" ca="1" si="237"/>
        <v>46.912130330923901</v>
      </c>
      <c r="P546" s="45">
        <f t="shared" ca="1" si="238"/>
        <v>46.912130330923901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451282</v>
      </c>
      <c r="M547" s="38">
        <f t="shared" ca="1" si="241"/>
        <v>451282</v>
      </c>
      <c r="N547" s="38">
        <f t="shared" si="241"/>
        <v>211706</v>
      </c>
      <c r="O547" s="38">
        <f t="shared" ca="1" si="237"/>
        <v>46.912130330923901</v>
      </c>
      <c r="P547" s="38">
        <f t="shared" ca="1" si="238"/>
        <v>46.912130330923901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IFERROR(__xludf.DUMMYFUNCTION("IMPORTRANGE(""https://docs.google.com/spreadsheets/d/1QqKyyYR6Q21VydFLVH3TRQUabQu_ym0Zz7PgGX0-kHA/edit?usp=sharing"",""แผน!HB68"")"),451282)</f>
        <v>451282</v>
      </c>
      <c r="M549" s="45">
        <f ca="1">L549</f>
        <v>451282</v>
      </c>
      <c r="N549" s="45">
        <f>N550+N551+N552+N553+N554</f>
        <v>211706</v>
      </c>
      <c r="O549" s="45">
        <f t="shared" ca="1" si="237"/>
        <v>46.912130330923901</v>
      </c>
      <c r="P549" s="45">
        <f t="shared" ca="1" si="238"/>
        <v>46.912130330923901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77566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134140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36182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IFERROR(__xludf.DUMMYFUNCTION("IMPORTRANGE(""https://docs.google.com/spreadsheets/d/1QqKyyYR6Q21VydFLVH3TRQUabQu_ym0Zz7PgGX0-kHA/edit?usp=sharing"",""แผน!HH68"")"),36182)</f>
        <v>36182</v>
      </c>
      <c r="J560" s="189">
        <f t="shared" ref="J560:J561" si="247">J562+J564+J566</f>
        <v>36182.370000000003</v>
      </c>
      <c r="K560" s="390">
        <f t="shared" ca="1" si="246"/>
        <v>100.0010226079266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IFERROR(__xludf.DUMMYFUNCTION("IMPORTRANGE(""https://docs.google.com/spreadsheets/d/1QqKyyYR6Q21VydFLVH3TRQUabQu_ym0Zz7PgGX0-kHA/edit?usp=sharing"",""แผน!HG68"")"),3060)</f>
        <v>3060</v>
      </c>
      <c r="J561" s="189">
        <f t="shared" si="247"/>
        <v>3060</v>
      </c>
      <c r="K561" s="390">
        <f t="shared" ca="1" si="246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24667.96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2086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11033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937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481.41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37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IFERROR(__xludf.DUMMYFUNCTION("IMPORTRANGE(""https://docs.google.com/spreadsheets/d/1QqKyyYR6Q21VydFLVH3TRQUabQu_ym0Zz7PgGX0-kHA/edit?usp=sharing"",""แผน!HH68"")"),36182)</f>
        <v>36182</v>
      </c>
      <c r="J568" s="190">
        <f t="shared" ref="J568:J569" si="248">J570+J572+J574</f>
        <v>36182.44</v>
      </c>
      <c r="K568" s="390">
        <f t="shared" ref="K568:K569" ca="1" si="249">IF(I568&gt;0,J568*100/I568,0)</f>
        <v>100.00121607429108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IFERROR(__xludf.DUMMYFUNCTION("IMPORTRANGE(""https://docs.google.com/spreadsheets/d/1QqKyyYR6Q21VydFLVH3TRQUabQu_ym0Zz7PgGX0-kHA/edit?usp=sharing"",""แผน!HG68"")"),3060)</f>
        <v>3060</v>
      </c>
      <c r="J569" s="190">
        <f t="shared" si="248"/>
        <v>3060</v>
      </c>
      <c r="K569" s="390">
        <f t="shared" ca="1" si="249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24641.48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2085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10990.31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933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550.65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42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IFERROR(__xludf.DUMMYFUNCTION("IMPORTRANGE(""https://docs.google.com/spreadsheets/d/1QqKyyYR6Q21VydFLVH3TRQUabQu_ym0Zz7PgGX0-kHA/edit?usp=sharing"",""แผน!HH68"")"),36182)</f>
        <v>36182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IFERROR(__xludf.DUMMYFUNCTION("IMPORTRANGE(""https://docs.google.com/spreadsheets/d/1QqKyyYR6Q21VydFLVH3TRQUabQu_ym0Zz7PgGX0-kHA/edit?usp=sharing"",""แผน!HG68"")"),3060)</f>
        <v>3060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7807.08</v>
      </c>
      <c r="J592" s="627">
        <f t="shared" si="253"/>
        <v>7807</v>
      </c>
      <c r="K592" s="628">
        <f t="shared" ref="K592:K594" ca="1" si="254">IF(I592&gt;0,J592*100/I592,0)</f>
        <v>99.998975289096563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IFERROR(__xludf.DUMMYFUNCTION("IMPORTRANGE(""https://docs.google.com/spreadsheets/d/1QqKyyYR6Q21VydFLVH3TRQUabQu_ym0Zz7PgGX0-kHA/edit?usp=sharing"",""แผน!HJ68"")"),7807.08)</f>
        <v>7807.08</v>
      </c>
      <c r="J593" s="189">
        <f t="shared" ref="J593:J594" si="255">J595+J603+J609</f>
        <v>7807</v>
      </c>
      <c r="K593" s="390">
        <f t="shared" ca="1" si="254"/>
        <v>99.998975289096563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IFERROR(__xludf.DUMMYFUNCTION("IMPORTRANGE(""https://docs.google.com/spreadsheets/d/1QqKyyYR6Q21VydFLVH3TRQUabQu_ym0Zz7PgGX0-kHA/edit?usp=sharing"",""แผน!HI68"")"),361)</f>
        <v>361</v>
      </c>
      <c r="J594" s="189">
        <f t="shared" si="255"/>
        <v>361</v>
      </c>
      <c r="K594" s="390">
        <f t="shared" ca="1" si="254"/>
        <v>100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7393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343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4793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225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2600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118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414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18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309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13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105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5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/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/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IFERROR(__xludf.DUMMYFUNCTION("IMPORTRANGE(""https://docs.google.com/spreadsheets/d/1QqKyyYR6Q21VydFLVH3TRQUabQu_ym0Zz7PgGX0-kHA/edit?usp=sharing"",""แผน!HL68"")"),5)</f>
        <v>5</v>
      </c>
      <c r="J620" s="672">
        <f t="shared" ref="J620:J621" si="260">J622+J624+J626</f>
        <v>5</v>
      </c>
      <c r="K620" s="673">
        <f t="shared" ref="K620:K621" ca="1" si="261">IF(I620&gt;0,J620*100/I620,0)</f>
        <v>100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IFERROR(__xludf.DUMMYFUNCTION("IMPORTRANGE(""https://docs.google.com/spreadsheets/d/1QqKyyYR6Q21VydFLVH3TRQUabQu_ym0Zz7PgGX0-kHA/edit?usp=sharing"",""แผน!HK68"")"),8)</f>
        <v>8</v>
      </c>
      <c r="J621" s="672">
        <f t="shared" si="260"/>
        <v>8</v>
      </c>
      <c r="K621" s="673">
        <f t="shared" ca="1" si="261"/>
        <v>100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1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1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4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7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70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341770</v>
      </c>
      <c r="M629" s="191">
        <f t="shared" ca="1" si="263"/>
        <v>341770</v>
      </c>
      <c r="N629" s="191">
        <f t="shared" si="263"/>
        <v>277429</v>
      </c>
      <c r="O629" s="191">
        <f t="shared" ref="O629:O634" ca="1" si="264">IF(L629&gt;0,N629*100/L629,0)</f>
        <v>81.174181467068493</v>
      </c>
      <c r="P629" s="191">
        <f t="shared" ref="P629:P634" ca="1" si="265">IF(M629&gt;0,N629*100/M629,0)</f>
        <v>81.174181467068493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341770</v>
      </c>
      <c r="M631" s="45">
        <f t="shared" ca="1" si="266"/>
        <v>341770</v>
      </c>
      <c r="N631" s="45">
        <f t="shared" si="266"/>
        <v>277429</v>
      </c>
      <c r="O631" s="45">
        <f t="shared" ca="1" si="264"/>
        <v>81.174181467068493</v>
      </c>
      <c r="P631" s="45">
        <f t="shared" ca="1" si="265"/>
        <v>81.174181467068493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341770</v>
      </c>
      <c r="M632" s="38">
        <f t="shared" ca="1" si="267"/>
        <v>341770</v>
      </c>
      <c r="N632" s="38">
        <f t="shared" si="267"/>
        <v>277429</v>
      </c>
      <c r="O632" s="38">
        <f t="shared" ca="1" si="264"/>
        <v>81.174181467068493</v>
      </c>
      <c r="P632" s="38">
        <f t="shared" ca="1" si="265"/>
        <v>81.174181467068493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IFERROR(__xludf.DUMMYFUNCTION("IMPORTRANGE(""https://docs.google.com/spreadsheets/d/1QqKyyYR6Q21VydFLVH3TRQUabQu_ym0Zz7PgGX0-kHA/edit?usp=sharing"",""แผน!HN68"")"),341770)</f>
        <v>341770</v>
      </c>
      <c r="M634" s="45">
        <f ca="1">L634</f>
        <v>341770</v>
      </c>
      <c r="N634" s="45">
        <f>N635+N636+N637+N638</f>
        <v>277429</v>
      </c>
      <c r="O634" s="45">
        <f t="shared" ca="1" si="264"/>
        <v>81.174181467068493</v>
      </c>
      <c r="P634" s="45">
        <f t="shared" ca="1" si="265"/>
        <v>81.174181467068493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103566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173863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IFERROR(__xludf.DUMMYFUNCTION("IMPORTRANGE(""https://docs.google.com/spreadsheets/d/1QqKyyYR6Q21VydFLVH3TRQUabQu_ym0Zz7PgGX0-kHA/edit?usp=sharing"",""แผน!HR68"")"),0)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IFERROR(__xludf.DUMMYFUNCTION("IMPORTRANGE(""https://docs.google.com/spreadsheets/d/1QqKyyYR6Q21VydFLVH3TRQUabQu_ym0Zz7PgGX0-kHA/edit?usp=sharing"",""แผน!HR68"")"),0)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IFERROR(__xludf.DUMMYFUNCTION("IMPORTRANGE(""https://docs.google.com/spreadsheets/d/1XWAQStnk-4SwqDmLtmXYiTMKHgktTP8We1SCoS47DrQ/edit?usp=sharing"",""จัดที่ดิน!AS68"")"),98)</f>
        <v>98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IFERROR(__xludf.DUMMYFUNCTION("IMPORTRANGE(""https://docs.google.com/spreadsheets/d/1XWAQStnk-4SwqDmLtmXYiTMKHgktTP8We1SCoS47DrQ/edit?usp=sharing"",""จัดที่ดิน!AT68"")"),51.12)</f>
        <v>51.12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IFERROR(__xludf.DUMMYFUNCTION("IMPORTRANGE(""https://docs.google.com/spreadsheets/d/1QqKyyYR6Q21VydFLVH3TRQUabQu_ym0Zz7PgGX0-kHA/edit?usp=sharing"",""แผน!HS68"")"),70)</f>
        <v>70</v>
      </c>
      <c r="J647" s="37">
        <f ca="1">IFERROR(__xludf.DUMMYFUNCTION("IMPORTRANGE(""https://docs.google.com/spreadsheets/d/1XWAQStnk-4SwqDmLtmXYiTMKHgktTP8We1SCoS47DrQ/edit?usp=sharing"",""จัดที่ดิน!AU68"")"),90)</f>
        <v>90</v>
      </c>
      <c r="K647" s="162">
        <f t="shared" ca="1" si="271"/>
        <v>128.57142857142858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IFERROR(__xludf.DUMMYFUNCTION("IMPORTRANGE(""https://docs.google.com/spreadsheets/d/1XWAQStnk-4SwqDmLtmXYiTMKHgktTP8We1SCoS47DrQ/edit?usp=sharing"",""จัดที่ดิน!AV68"")"),47.94)</f>
        <v>47.94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IFERROR(__xludf.DUMMYFUNCTION("IMPORTRANGE(""https://docs.google.com/spreadsheets/d/1QqKyyYR6Q21VydFLVH3TRQUabQu_ym0Zz7PgGX0-kHA/edit?usp=sharing"",""แผน!HS68"")"),70)</f>
        <v>70</v>
      </c>
      <c r="J649" s="37">
        <f ca="1">IFERROR(__xludf.DUMMYFUNCTION("IMPORTRANGE(""https://docs.google.com/spreadsheets/d/1XWAQStnk-4SwqDmLtmXYiTMKHgktTP8We1SCoS47DrQ/edit?usp=sharing"",""จัดที่ดิน!AW68"")"),0)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IFERROR(__xludf.DUMMYFUNCTION("IMPORTRANGE(""https://docs.google.com/spreadsheets/d/1XWAQStnk-4SwqDmLtmXYiTMKHgktTP8We1SCoS47DrQ/edit?usp=sharing"",""จัดที่ดิน!AX68"")"),0)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IFERROR(__xludf.DUMMYFUNCTION("IMPORTRANGE(""https://docs.google.com/spreadsheets/d/1QqKyyYR6Q21VydFLVH3TRQUabQu_ym0Zz7PgGX0-kHA/edit?usp=sharing"",""แผน!HS68"")"),70)</f>
        <v>70</v>
      </c>
      <c r="J651" s="37">
        <f ca="1">IFERROR(__xludf.DUMMYFUNCTION("IMPORTRANGE(""https://docs.google.com/spreadsheets/d/1XWAQStnk-4SwqDmLtmXYiTMKHgktTP8We1SCoS47DrQ/edit?usp=sharing"",""จัดที่ดิน!AY68"")"),0)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IFERROR(__xludf.DUMMYFUNCTION("IMPORTRANGE(""https://docs.google.com/spreadsheets/d/1XWAQStnk-4SwqDmLtmXYiTMKHgktTP8We1SCoS47DrQ/edit?usp=sharing"",""จัดที่ดิน!AZ68"")"),0)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11000</v>
      </c>
      <c r="M655" s="191">
        <f t="shared" ca="1" si="273"/>
        <v>11000</v>
      </c>
      <c r="N655" s="191">
        <f t="shared" si="273"/>
        <v>5700</v>
      </c>
      <c r="O655" s="191">
        <f t="shared" ref="O655:O660" ca="1" si="274">IF(L655&gt;0,N655*100/L655,0)</f>
        <v>51.81818181818182</v>
      </c>
      <c r="P655" s="191">
        <f t="shared" ref="P655:P660" ca="1" si="275">IF(M655&gt;0,N655*100/M655,0)</f>
        <v>51.81818181818182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11000</v>
      </c>
      <c r="M657" s="45">
        <f t="shared" ca="1" si="276"/>
        <v>11000</v>
      </c>
      <c r="N657" s="45">
        <f t="shared" si="276"/>
        <v>5700</v>
      </c>
      <c r="O657" s="45">
        <f t="shared" ca="1" si="274"/>
        <v>51.81818181818182</v>
      </c>
      <c r="P657" s="45">
        <f t="shared" ca="1" si="275"/>
        <v>51.81818181818182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11000</v>
      </c>
      <c r="M658" s="38">
        <f t="shared" ca="1" si="277"/>
        <v>11000</v>
      </c>
      <c r="N658" s="38">
        <f t="shared" si="277"/>
        <v>5700</v>
      </c>
      <c r="O658" s="38">
        <f t="shared" ca="1" si="274"/>
        <v>51.81818181818182</v>
      </c>
      <c r="P658" s="38">
        <f t="shared" ca="1" si="275"/>
        <v>51.81818181818182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IFERROR(__xludf.DUMMYFUNCTION("IMPORTRANGE(""https://docs.google.com/spreadsheets/d/1QqKyyYR6Q21VydFLVH3TRQUabQu_ym0Zz7PgGX0-kHA/edit?usp=sharing"",""แผน!HV68"")"),11000)</f>
        <v>11000</v>
      </c>
      <c r="M660" s="45">
        <f ca="1">L660</f>
        <v>11000</v>
      </c>
      <c r="N660" s="45">
        <f>N661+N662+N663+N664</f>
        <v>5700</v>
      </c>
      <c r="O660" s="45">
        <f t="shared" ca="1" si="274"/>
        <v>51.81818181818182</v>
      </c>
      <c r="P660" s="45">
        <f t="shared" ca="1" si="275"/>
        <v>51.81818181818182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5700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IFERROR(__xludf.DUMMYFUNCTION("IMPORTRANGE(""https://docs.google.com/spreadsheets/d/1QqKyyYR6Q21VydFLVH3TRQUabQu_ym0Zz7PgGX0-kHA/edit?usp=sharing"",""แผน!IA68"")"),50)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IFERROR(__xludf.DUMMYFUNCTION("IMPORTRANGE(""https://docs.google.com/spreadsheets/d/1QqKyyYR6Q21VydFLVH3TRQUabQu_ym0Zz7PgGX0-kHA/edit?usp=sharing"",""แผน!HZ68"")"),5)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IFERROR(__xludf.DUMMYFUNCTION("IMPORTRANGE(""https://docs.google.com/spreadsheets/d/1QqKyyYR6Q21VydFLVH3TRQUabQu_ym0Zz7PgGX0-kHA/edit?usp=sharing"",""แผน!HZ68"")"),5)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21820</v>
      </c>
      <c r="M685" s="191">
        <f t="shared" ca="1" si="282"/>
        <v>21820</v>
      </c>
      <c r="N685" s="191">
        <f t="shared" si="282"/>
        <v>5057</v>
      </c>
      <c r="O685" s="191">
        <f t="shared" ref="O685:O688" ca="1" si="283">IF(L685&gt;0,N685*100/L685,0)</f>
        <v>23.175985334555453</v>
      </c>
      <c r="P685" s="191">
        <f t="shared" ref="P685:P688" ca="1" si="284">IF(M685&gt;0,N685*100/M685,0)</f>
        <v>23.175985334555453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21820</v>
      </c>
      <c r="M687" s="45">
        <f t="shared" ca="1" si="285"/>
        <v>21820</v>
      </c>
      <c r="N687" s="45">
        <f t="shared" si="285"/>
        <v>5057</v>
      </c>
      <c r="O687" s="45">
        <f t="shared" ca="1" si="283"/>
        <v>23.175985334555453</v>
      </c>
      <c r="P687" s="45">
        <f t="shared" ca="1" si="284"/>
        <v>23.175985334555453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21820</v>
      </c>
      <c r="M688" s="38">
        <f t="shared" ca="1" si="286"/>
        <v>21820</v>
      </c>
      <c r="N688" s="38">
        <f t="shared" si="286"/>
        <v>5057</v>
      </c>
      <c r="O688" s="38">
        <f t="shared" ca="1" si="283"/>
        <v>23.175985334555453</v>
      </c>
      <c r="P688" s="38">
        <f t="shared" ca="1" si="284"/>
        <v>23.175985334555453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IFERROR(__xludf.DUMMYFUNCTION("IMPORTRANGE(""https://docs.google.com/spreadsheets/d/1QqKyyYR6Q21VydFLVH3TRQUabQu_ym0Zz7PgGX0-kHA/edit?usp=sharing"",""แผน!HW68"")"),21820)</f>
        <v>21820</v>
      </c>
      <c r="M690" s="45">
        <f ca="1">L690</f>
        <v>21820</v>
      </c>
      <c r="N690" s="45">
        <f>N691+N692+N693+N694</f>
        <v>5057</v>
      </c>
      <c r="O690" s="45">
        <f ca="1">IF(L690&gt;0,N690*100/L690,0)</f>
        <v>23.175985334555453</v>
      </c>
      <c r="P690" s="45">
        <f ca="1">IF(M690&gt;0,N690*100/M690,0)</f>
        <v>23.175985334555453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5057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IFERROR(__xludf.DUMMYFUNCTION("IMPORTRANGE(""https://docs.google.com/spreadsheets/d/1QqKyyYR6Q21VydFLVH3TRQUabQu_ym0Zz7PgGX0-kHA/edit?usp=sharing"",""แผน!IC68"")"),10)</f>
        <v>10</v>
      </c>
      <c r="J699" s="37">
        <f ca="1">IFERROR(__xludf.DUMMYFUNCTION("IMPORTRANGE(""https://docs.google.com/spreadsheets/d/1XWAQStnk-4SwqDmLtmXYiTMKHgktTP8We1SCoS47DrQ/edit?usp=sharing"",""จัดที่ดิน!BB68"")"),0)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IFERROR(__xludf.DUMMYFUNCTION("IMPORTRANGE(""https://docs.google.com/spreadsheets/d/1QqKyyYR6Q21VydFLVH3TRQUabQu_ym0Zz7PgGX0-kHA/edit?usp=sharing"",""แผน!ID68"")"),1)</f>
        <v>1</v>
      </c>
      <c r="J700" s="37">
        <f ca="1">IFERROR(__xludf.DUMMYFUNCTION("IMPORTRANGE(""https://docs.google.com/spreadsheets/d/1XWAQStnk-4SwqDmLtmXYiTMKHgktTP8We1SCoS47DrQ/edit?usp=sharing"",""จัดที่ดิน!BD68"")"),0)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IFERROR(__xludf.DUMMYFUNCTION("IMPORTRANGE(""https://docs.google.com/spreadsheets/d/1QqKyyYR6Q21VydFLVH3TRQUabQu_ym0Zz7PgGX0-kHA/edit?usp=sharing"",""แผน!IE68"")"),550)</f>
        <v>550</v>
      </c>
      <c r="J701" s="190">
        <f>J704+J707</f>
        <v>105</v>
      </c>
      <c r="K701" s="191">
        <f t="shared" ca="1" si="290"/>
        <v>19.09090909090909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11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12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IFERROR(__xludf.DUMMYFUNCTION("IMPORTRANGE(""https://docs.google.com/spreadsheets/d/1QqKyyYR6Q21VydFLVH3TRQUabQu_ym0Zz7PgGX0-kHA/edit?usp=sharing"",""แผน!IF68"")"),25)</f>
        <v>25</v>
      </c>
      <c r="J704" s="181">
        <v>105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IFERROR(__xludf.DUMMYFUNCTION("IMPORTRANGE(""https://docs.google.com/spreadsheets/d/1QqKyyYR6Q21VydFLVH3TRQUabQu_ym0Zz7PgGX0-kHA/edit?usp=sharing"",""แผน!IG68"")"),525)</f>
        <v>525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IFERROR(__xludf.DUMMYFUNCTION("IMPORTRANGE(""https://docs.google.com/spreadsheets/d/1QqKyyYR6Q21VydFLVH3TRQUabQu_ym0Zz7PgGX0-kHA/edit?usp=sharing"",""แผน!IH68"")"),100)</f>
        <v>100</v>
      </c>
      <c r="J708" s="190">
        <f>J714+J717</f>
        <v>147</v>
      </c>
      <c r="K708" s="191">
        <f ca="1">IF(I708&gt;0,J708*100/I708,0)</f>
        <v>147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4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147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20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20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147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IFERROR(__xludf.DUMMYFUNCTION("IMPORTRANGE(""https://docs.google.com/spreadsheets/d/1XWAQStnk-4SwqDmLtmXYiTMKHgktTP8We1SCoS47DrQ/edit?usp=sharing"",""จัดที่ดิน!BF68"")"),0)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IFERROR(__xludf.DUMMYFUNCTION("IMPORTRANGE(""https://docs.google.com/spreadsheets/d/1XWAQStnk-4SwqDmLtmXYiTMKHgktTP8We1SCoS47DrQ/edit?usp=sharing"",""จัดที่ดิน!BG68"")"),0)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IFERROR(__xludf.DUMMYFUNCTION("IMPORTRANGE(""https://docs.google.com/spreadsheets/d/1QqKyyYR6Q21VydFLVH3TRQUabQu_ym0Zz7PgGX0-kHA/edit?usp=sharing"",""แผน!II68"")"),150)</f>
        <v>150</v>
      </c>
      <c r="J720" s="37">
        <f ca="1">IFERROR(__xludf.DUMMYFUNCTION("IMPORTRANGE(""https://docs.google.com/spreadsheets/d/1XWAQStnk-4SwqDmLtmXYiTMKHgktTP8We1SCoS47DrQ/edit?usp=sharing"",""จัดที่ดิน!BH68"")"),0)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IFERROR(__xludf.DUMMYFUNCTION("IMPORTRANGE(""https://docs.google.com/spreadsheets/d/1QqKyyYR6Q21VydFLVH3TRQUabQu_ym0Zz7PgGX0-kHA/edit?usp=sharing"",""แผน!IJ68"")"),10)</f>
        <v>10</v>
      </c>
      <c r="J721" s="190">
        <f ca="1">J723+J726</f>
        <v>10</v>
      </c>
      <c r="K721" s="191">
        <f t="shared" ca="1" si="291"/>
        <v>100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IFERROR(__xludf.DUMMYFUNCTION("IMPORTRANGE(""https://docs.google.com/spreadsheets/d/1QqKyyYR6Q21VydFLVH3TRQUabQu_ym0Zz7PgGX0-kHA/edit?usp=sharing"",""แผน!IK68"")"),50)</f>
        <v>50</v>
      </c>
      <c r="J722" s="190">
        <f ca="1">J725+J728</f>
        <v>164.44</v>
      </c>
      <c r="K722" s="191">
        <f t="shared" ca="1" si="291"/>
        <v>328.88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IFERROR(__xludf.DUMMYFUNCTION("IMPORTRANGE(""https://docs.google.com/spreadsheets/d/1QqKyyYR6Q21VydFLVH3TRQUabQu_ym0Zz7PgGX0-kHA/edit?usp=sharing"",""แผน!IL68"")"),10)</f>
        <v>10</v>
      </c>
      <c r="J723" s="37">
        <f ca="1">IFERROR(__xludf.DUMMYFUNCTION("IMPORTRANGE(""https://docs.google.com/spreadsheets/d/1XWAQStnk-4SwqDmLtmXYiTMKHgktTP8We1SCoS47DrQ/edit?usp=sharing"",""จัดที่ดิน!BM68"")"),10)</f>
        <v>10</v>
      </c>
      <c r="K723" s="38">
        <f t="shared" ca="1" si="291"/>
        <v>100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IFERROR(__xludf.DUMMYFUNCTION("IMPORTRANGE(""https://docs.google.com/spreadsheets/d/1XWAQStnk-4SwqDmLtmXYiTMKHgktTP8We1SCoS47DrQ/edit?usp=sharing"",""จัดที่ดิน!BN68"")"),11)</f>
        <v>11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IFERROR(__xludf.DUMMYFUNCTION("IMPORTRANGE(""https://docs.google.com/spreadsheets/d/1QqKyyYR6Q21VydFLVH3TRQUabQu_ym0Zz7PgGX0-kHA/edit?usp=sharing"",""แผน!IM68"")"),50)</f>
        <v>50</v>
      </c>
      <c r="J725" s="37">
        <f ca="1">IFERROR(__xludf.DUMMYFUNCTION("IMPORTRANGE(""https://docs.google.com/spreadsheets/d/1XWAQStnk-4SwqDmLtmXYiTMKHgktTP8We1SCoS47DrQ/edit?usp=sharing"",""จัดที่ดิน!BO68"")"),164.44)</f>
        <v>164.44</v>
      </c>
      <c r="K725" s="38">
        <f t="shared" ref="K725:K726" ca="1" si="292">IF(I725&gt;0,J725*100/I725,0)</f>
        <v>328.88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IFERROR(__xludf.DUMMYFUNCTION("IMPORTRANGE(""https://docs.google.com/spreadsheets/d/1QqKyyYR6Q21VydFLVH3TRQUabQu_ym0Zz7PgGX0-kHA/edit?usp=sharing"",""แผน!IN68"")"),0)</f>
        <v>0</v>
      </c>
      <c r="J726" s="37">
        <f ca="1">IFERROR(__xludf.DUMMYFUNCTION("IMPORTRANGE(""https://docs.google.com/spreadsheets/d/1XWAQStnk-4SwqDmLtmXYiTMKHgktTP8We1SCoS47DrQ/edit?usp=sharing"",""จัดที่ดิน!BR68"")"),0)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IFERROR(__xludf.DUMMYFUNCTION("IMPORTRANGE(""https://docs.google.com/spreadsheets/d/1XWAQStnk-4SwqDmLtmXYiTMKHgktTP8We1SCoS47DrQ/edit?usp=sharing"",""จัดที่ดิน!BS68"")"),0)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IFERROR(__xludf.DUMMYFUNCTION("IMPORTRANGE(""https://docs.google.com/spreadsheets/d/1QqKyyYR6Q21VydFLVH3TRQUabQu_ym0Zz7PgGX0-kHA/edit?usp=sharing"",""แผน!IO68"")"),0)</f>
        <v>0</v>
      </c>
      <c r="J728" s="37">
        <f ca="1">IFERROR(__xludf.DUMMYFUNCTION("IMPORTRANGE(""https://docs.google.com/spreadsheets/d/1XWAQStnk-4SwqDmLtmXYiTMKHgktTP8We1SCoS47DrQ/edit?usp=sharing"",""จัดที่ดิน!BT68"")"),0)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IFERROR(__xludf.DUMMYFUNCTION("IMPORTRANGE(""https://docs.google.com/spreadsheets/d/1QqKyyYR6Q21VydFLVH3TRQUabQu_ym0Zz7PgGX0-kHA/edit?usp=sharing"",""แผน!IP68"")"),10)</f>
        <v>10</v>
      </c>
      <c r="J729" s="190">
        <f>J732+J735</f>
        <v>30</v>
      </c>
      <c r="K729" s="191">
        <f t="shared" ca="1" si="293"/>
        <v>300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5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3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30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IFERROR(__xludf.DUMMYFUNCTION("IMPORTRANGE(""https://docs.google.com/spreadsheets/d/1QqKyyYR6Q21VydFLVH3TRQUabQu_ym0Zz7PgGX0-kHA/edit?usp=sharing"",""แผน!JN68"")"),0)</f>
        <v>0</v>
      </c>
      <c r="J800" s="161">
        <f ca="1">IFERROR(__xludf.DUMMYFUNCTION("IMPORTRANGE(""https://docs.google.com/spreadsheets/d/1MaWodYyGHDf7siQLGxnXhG4mBNTNIuy296niS2xXulU/edit?usp=sharing"",""RTK!H68"")"),0)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IFERROR(__xludf.DUMMYFUNCTION("IMPORTRANGE(""https://docs.google.com/spreadsheets/d/1MaWodYyGHDf7siQLGxnXhG4mBNTNIuy296niS2xXulU/edit?usp=sharing"",""RTK!I68"")"),0)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37">
        <f ca="1">IFERROR(__xludf.DUMMYFUNCTION("IMPORTRANGE(""https://docs.google.com/spreadsheets/d/19vJNZY_5yjcGF2XGBMNZRCAIB0Kwfpjp8YEOfu-bneM/edit?usp=sharing"",""งานกองทุน!F68"")"),8450015.63)</f>
        <v>8450015.6300000008</v>
      </c>
      <c r="K821" s="38">
        <f t="shared" ref="K821:K828" ca="1" si="335">IF(I821&gt;0,J821*100/I821,0)</f>
        <v>75.696912141797014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IFERROR(__xludf.DUMMYFUNCTION("IMPORTRANGE(""https://docs.google.com/spreadsheets/d/19vJNZY_5yjcGF2XGBMNZRCAIB0Kwfpjp8YEOfu-bneM/edit?usp=sharing"",""งานกองทุน!C68"")"),357)</f>
        <v>357</v>
      </c>
      <c r="J822" s="37">
        <f ca="1">IFERROR(__xludf.DUMMYFUNCTION("IMPORTRANGE(""https://docs.google.com/spreadsheets/d/19vJNZY_5yjcGF2XGBMNZRCAIB0Kwfpjp8YEOfu-bneM/edit?usp=sharing"",""งานกองทุน!E68"")"),282)</f>
        <v>282</v>
      </c>
      <c r="K822" s="38">
        <f t="shared" ca="1" si="335"/>
        <v>78.991596638655466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37">
        <f ca="1">IFERROR(__xludf.DUMMYFUNCTION("IMPORTRANGE(""https://docs.google.com/spreadsheets/d/19vJNZY_5yjcGF2XGBMNZRCAIB0Kwfpjp8YEOfu-bneM/edit?usp=sharing"",""งานกองทุน!K68"")"),842917.97)</f>
        <v>842917.97</v>
      </c>
      <c r="K823" s="38">
        <f t="shared" ca="1" si="335"/>
        <v>11.313737301310315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IFERROR(__xludf.DUMMYFUNCTION("IMPORTRANGE(""https://docs.google.com/spreadsheets/d/19vJNZY_5yjcGF2XGBMNZRCAIB0Kwfpjp8YEOfu-bneM/edit?usp=sharing"",""งานกองทุน!H68"")"),327)</f>
        <v>327</v>
      </c>
      <c r="J824" s="37">
        <f ca="1">IFERROR(__xludf.DUMMYFUNCTION("IMPORTRANGE(""https://docs.google.com/spreadsheets/d/19vJNZY_5yjcGF2XGBMNZRCAIB0Kwfpjp8YEOfu-bneM/edit?usp=sharing"",""งานกองทุน!J68"")"),48)</f>
        <v>48</v>
      </c>
      <c r="K824" s="38">
        <f t="shared" ca="1" si="335"/>
        <v>14.678899082568808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37">
        <f ca="1">IFERROR(__xludf.DUMMYFUNCTION("IMPORTRANGE(""https://docs.google.com/spreadsheets/d/19vJNZY_5yjcGF2XGBMNZRCAIB0Kwfpjp8YEOfu-bneM/edit?usp=sharing"",""งานกองทุน!P68"")"),2140362.49)</f>
        <v>2140362.4900000002</v>
      </c>
      <c r="K825" s="38">
        <f t="shared" ca="1" si="335"/>
        <v>23.030507727125233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IFERROR(__xludf.DUMMYFUNCTION("IMPORTRANGE(""https://docs.google.com/spreadsheets/d/19vJNZY_5yjcGF2XGBMNZRCAIB0Kwfpjp8YEOfu-bneM/edit?usp=sharing"",""งานกองทุน!M68"")"),1224)</f>
        <v>1224</v>
      </c>
      <c r="J826" s="37">
        <f ca="1">IFERROR(__xludf.DUMMYFUNCTION("IMPORTRANGE(""https://docs.google.com/spreadsheets/d/19vJNZY_5yjcGF2XGBMNZRCAIB0Kwfpjp8YEOfu-bneM/edit?usp=sharing"",""งานกองทุน!O68"")"),478)</f>
        <v>478</v>
      </c>
      <c r="K826" s="38">
        <f t="shared" ca="1" si="335"/>
        <v>39.052287581699346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IFERROR(__xludf.DUMMYFUNCTION("IMPORTRANGE(""https://docs.google.com/spreadsheets/d/19vJNZY_5yjcGF2XGBMNZRCAIB0Kwfpjp8YEOfu-bneM/edit?usp=sharing"",""งานกองทุน!S68"")"),11230000)</f>
        <v>11230000</v>
      </c>
      <c r="J827" s="37">
        <f ca="1">IFERROR(__xludf.DUMMYFUNCTION("IMPORTRANGE(""https://docs.google.com/spreadsheets/d/19vJNZY_5yjcGF2XGBMNZRCAIB0Kwfpjp8YEOfu-bneM/edit?usp=sharing"",""งานกองทุน!U68"")"),9135000)</f>
        <v>9135000</v>
      </c>
      <c r="K827" s="38">
        <f t="shared" ca="1" si="335"/>
        <v>81.344612644701698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IFERROR(__xludf.DUMMYFUNCTION("IMPORTRANGE(""https://docs.google.com/spreadsheets/d/19vJNZY_5yjcGF2XGBMNZRCAIB0Kwfpjp8YEOfu-bneM/edit?usp=sharing"",""งานกองทุน!R68"")"),449)</f>
        <v>449</v>
      </c>
      <c r="J828" s="365">
        <f ca="1">IFERROR(__xludf.DUMMYFUNCTION("IMPORTRANGE(""https://docs.google.com/spreadsheets/d/19vJNZY_5yjcGF2XGBMNZRCAIB0Kwfpjp8YEOfu-bneM/edit?usp=sharing"",""งานกองทุน!T68"")"),280)</f>
        <v>280</v>
      </c>
      <c r="K828" s="472">
        <f t="shared" ca="1" si="335"/>
        <v>62.360801781737194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8A3DA-A645-4694-B39A-31EE5D5E29A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356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7428415.21</v>
      </c>
      <c r="N8" s="22">
        <f t="shared" ca="1" si="0"/>
        <v>5907552.7199999997</v>
      </c>
      <c r="O8" s="22">
        <f t="shared" ref="O8:O16" ca="1" si="1">IF(L8&gt;0,N8*100/L8,0)</f>
        <v>80.096327872053109</v>
      </c>
      <c r="P8" s="22">
        <f t="shared" ref="P8:P16" ca="1" si="2">IF(M8&gt;0,N8*100/M8,0)</f>
        <v>79.52642054858967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7428415.21</v>
      </c>
      <c r="N10" s="30">
        <f t="shared" ca="1" si="3"/>
        <v>5907552.7199999997</v>
      </c>
      <c r="O10" s="30">
        <f t="shared" ca="1" si="1"/>
        <v>80.096327872053109</v>
      </c>
      <c r="P10" s="30">
        <f t="shared" ca="1" si="2"/>
        <v>79.52642054858967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6693960</v>
      </c>
      <c r="M11" s="38">
        <f t="shared" ca="1" si="4"/>
        <v>6797199.9299999997</v>
      </c>
      <c r="N11" s="38">
        <f t="shared" ca="1" si="4"/>
        <v>5276337.4399999995</v>
      </c>
      <c r="O11" s="38">
        <f t="shared" ca="1" si="1"/>
        <v>78.822362846506394</v>
      </c>
      <c r="P11" s="38">
        <f t="shared" ca="1" si="2"/>
        <v>77.625161748037613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6693960</v>
      </c>
      <c r="M13" s="45">
        <f t="shared" ca="1" si="5"/>
        <v>6797199.9299999997</v>
      </c>
      <c r="N13" s="45">
        <f t="shared" ca="1" si="5"/>
        <v>5276337.4399999995</v>
      </c>
      <c r="O13" s="45">
        <f t="shared" ca="1" si="1"/>
        <v>78.822362846506394</v>
      </c>
      <c r="P13" s="45">
        <f t="shared" ca="1" si="2"/>
        <v>77.625161748037613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681600</v>
      </c>
      <c r="M14" s="38">
        <f t="shared" ca="1" si="6"/>
        <v>631215.28</v>
      </c>
      <c r="N14" s="38">
        <f t="shared" ca="1" si="6"/>
        <v>631215.28</v>
      </c>
      <c r="O14" s="38">
        <f t="shared" ca="1" si="1"/>
        <v>92.607875586854462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5187418.21</v>
      </c>
      <c r="N18" s="22">
        <f t="shared" ca="1" si="8"/>
        <v>4268010.43</v>
      </c>
      <c r="O18" s="22">
        <f t="shared" ref="O18:O26" ca="1" si="9">IF(L18&gt;0,N18*100/L18,0)</f>
        <v>83.123148552272127</v>
      </c>
      <c r="P18" s="22">
        <f t="shared" ref="P18:P26" ca="1" si="10">IF(M18&gt;0,N18*100/M18,0)</f>
        <v>82.276197083404227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5187418.21</v>
      </c>
      <c r="N20" s="30">
        <f t="shared" ca="1" si="11"/>
        <v>4268010.43</v>
      </c>
      <c r="O20" s="30">
        <f t="shared" ca="1" si="9"/>
        <v>83.123148552272127</v>
      </c>
      <c r="P20" s="30">
        <f t="shared" ca="1" si="10"/>
        <v>82.276197083404227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4452963</v>
      </c>
      <c r="M21" s="38">
        <f t="shared" ca="1" si="12"/>
        <v>4556202.93</v>
      </c>
      <c r="N21" s="38">
        <f t="shared" ca="1" si="12"/>
        <v>3636795.1499999994</v>
      </c>
      <c r="O21" s="38">
        <f t="shared" ca="1" si="9"/>
        <v>81.671353433657529</v>
      </c>
      <c r="P21" s="38">
        <f t="shared" ca="1" si="10"/>
        <v>79.820745604937301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4452963</v>
      </c>
      <c r="M23" s="45">
        <f t="shared" ca="1" si="13"/>
        <v>4556202.93</v>
      </c>
      <c r="N23" s="45">
        <f t="shared" ca="1" si="13"/>
        <v>3636795.1499999994</v>
      </c>
      <c r="O23" s="45">
        <f t="shared" ca="1" si="9"/>
        <v>81.671353433657529</v>
      </c>
      <c r="P23" s="45">
        <f t="shared" ca="1" si="10"/>
        <v>79.820745604937301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681600</v>
      </c>
      <c r="M24" s="38">
        <f t="shared" ca="1" si="14"/>
        <v>631215.28</v>
      </c>
      <c r="N24" s="38">
        <f t="shared" ca="1" si="14"/>
        <v>631215.28</v>
      </c>
      <c r="O24" s="38">
        <f t="shared" ca="1" si="9"/>
        <v>92.607875586854462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1639542.29</v>
      </c>
      <c r="O28" s="22">
        <f t="shared" ref="O28:O37" ca="1" si="17">IF(L28&gt;0,N28*100/L28,0)</f>
        <v>73.161288926312707</v>
      </c>
      <c r="P28" s="22">
        <f t="shared" ref="P28:P37" ca="1" si="18">IF(M28&gt;0,N28*100/M28,0)</f>
        <v>73.161288926312707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1639542.29</v>
      </c>
      <c r="O30" s="30">
        <f t="shared" ca="1" si="17"/>
        <v>73.161288926312707</v>
      </c>
      <c r="P30" s="30">
        <f t="shared" ca="1" si="18"/>
        <v>73.161288926312707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2240997</v>
      </c>
      <c r="M31" s="38">
        <f t="shared" ca="1" si="20"/>
        <v>2240997</v>
      </c>
      <c r="N31" s="38">
        <f t="shared" si="20"/>
        <v>1639542.29</v>
      </c>
      <c r="O31" s="38">
        <f t="shared" ca="1" si="17"/>
        <v>73.161288926312707</v>
      </c>
      <c r="P31" s="38">
        <f t="shared" ca="1" si="18"/>
        <v>73.161288926312707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2240997</v>
      </c>
      <c r="M33" s="45">
        <f t="shared" ca="1" si="21"/>
        <v>2240997</v>
      </c>
      <c r="N33" s="45">
        <f t="shared" si="21"/>
        <v>1639542.29</v>
      </c>
      <c r="O33" s="45">
        <f t="shared" ca="1" si="17"/>
        <v>73.161288926312707</v>
      </c>
      <c r="P33" s="45">
        <f t="shared" ca="1" si="18"/>
        <v>73.161288926312707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5187418.21</v>
      </c>
      <c r="N37" s="59">
        <f t="shared" ca="1" si="24"/>
        <v>4268010.43</v>
      </c>
      <c r="O37" s="59">
        <f t="shared" ca="1" si="17"/>
        <v>83.123148552272127</v>
      </c>
      <c r="P37" s="59">
        <f t="shared" ca="1" si="18"/>
        <v>82.276197083404227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496132.93</v>
      </c>
      <c r="N41" s="85">
        <f t="shared" ca="1" si="25"/>
        <v>387825.93</v>
      </c>
      <c r="O41" s="85">
        <f t="shared" ref="O41:O49" ca="1" si="26">IF(L41&gt;0,N41*100/L41,0)</f>
        <v>95.35382311794514</v>
      </c>
      <c r="P41" s="85">
        <f t="shared" ref="P41:P49" ca="1" si="27">IF(M41&gt;0,N41*100/M41,0)</f>
        <v>78.169761882163314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496132.93</v>
      </c>
      <c r="N43" s="92">
        <f t="shared" ca="1" si="28"/>
        <v>387825.93</v>
      </c>
      <c r="O43" s="92">
        <f t="shared" ca="1" si="26"/>
        <v>95.35382311794514</v>
      </c>
      <c r="P43" s="92">
        <f t="shared" ca="1" si="27"/>
        <v>78.169761882163314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406723</v>
      </c>
      <c r="M44" s="38">
        <f t="shared" ca="1" si="29"/>
        <v>496132.93</v>
      </c>
      <c r="N44" s="38">
        <f t="shared" ca="1" si="29"/>
        <v>387825.93</v>
      </c>
      <c r="O44" s="38">
        <f t="shared" ca="1" si="26"/>
        <v>95.35382311794514</v>
      </c>
      <c r="P44" s="38">
        <f t="shared" ca="1" si="27"/>
        <v>78.169761882163314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IFERROR(__xludf.DUMMYFUNCTION("IMPORTRANGE(""https://docs.google.com/spreadsheets/d/1MeEWN-I1oV_STSDYn1IFDPWt_1FKiwhDph83XaGc0o0/edit?usp=sharing"",""งบพรบ!M69"")"),406723)</f>
        <v>406723</v>
      </c>
      <c r="M46" s="45">
        <f ca="1">IFERROR(__xludf.DUMMYFUNCTION("IMPORTRANGE(""https://docs.google.com/spreadsheets/d/1MeEWN-I1oV_STSDYn1IFDPWt_1FKiwhDph83XaGc0o0/edit?usp=sharing"",""งบพรบ!R69"")"),496132.93)</f>
        <v>496132.93</v>
      </c>
      <c r="N46" s="45">
        <f ca="1">IFERROR(__xludf.DUMMYFUNCTION("IMPORTRANGE(""https://docs.google.com/spreadsheets/d/1MeEWN-I1oV_STSDYn1IFDPWt_1FKiwhDph83XaGc0o0/edit?usp=sharing"",""งบพรบ!T69"")"),387825.93)</f>
        <v>387825.93</v>
      </c>
      <c r="O46" s="45">
        <f t="shared" ca="1" si="26"/>
        <v>95.35382311794514</v>
      </c>
      <c r="P46" s="45">
        <f t="shared" ca="1" si="27"/>
        <v>78.169761882163314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1382600</v>
      </c>
      <c r="M53" s="115">
        <f t="shared" ca="1" si="31"/>
        <v>1388835.28</v>
      </c>
      <c r="N53" s="115">
        <f t="shared" ca="1" si="31"/>
        <v>1302777.83</v>
      </c>
      <c r="O53" s="115">
        <f t="shared" ref="O53:O61" ca="1" si="32">IF(L53&gt;0,N53*100/L53,0)</f>
        <v>94.226662085925071</v>
      </c>
      <c r="P53" s="115">
        <f t="shared" ref="P53:P61" ca="1" si="33">IF(M53&gt;0,N53*100/M53,0)</f>
        <v>93.803624429817191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1382600</v>
      </c>
      <c r="M55" s="122">
        <f t="shared" ca="1" si="34"/>
        <v>1388835.28</v>
      </c>
      <c r="N55" s="122">
        <f t="shared" ca="1" si="34"/>
        <v>1302777.83</v>
      </c>
      <c r="O55" s="122">
        <f t="shared" ca="1" si="32"/>
        <v>94.226662085925071</v>
      </c>
      <c r="P55" s="122">
        <f t="shared" ca="1" si="33"/>
        <v>93.803624429817191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825600</v>
      </c>
      <c r="M56" s="38">
        <f t="shared" ca="1" si="35"/>
        <v>882220</v>
      </c>
      <c r="N56" s="38">
        <f t="shared" ca="1" si="35"/>
        <v>796162.55</v>
      </c>
      <c r="O56" s="38">
        <f t="shared" ca="1" si="32"/>
        <v>96.434417393410854</v>
      </c>
      <c r="P56" s="38">
        <f t="shared" ca="1" si="33"/>
        <v>90.245352633130054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IFERROR(__xludf.DUMMYFUNCTION("IMPORTRANGE(""https://docs.google.com/spreadsheets/d/1MeEWN-I1oV_STSDYn1IFDPWt_1FKiwhDph83XaGc0o0/edit?usp=sharing"",""งบพรบ!W69"")"),825600)</f>
        <v>825600</v>
      </c>
      <c r="M58" s="45">
        <f ca="1">IFERROR(__xludf.DUMMYFUNCTION("IMPORTRANGE(""https://docs.google.com/spreadsheets/d/1MeEWN-I1oV_STSDYn1IFDPWt_1FKiwhDph83XaGc0o0/edit?usp=sharing"",""งบพรบ!AB69"")"),882220)</f>
        <v>882220</v>
      </c>
      <c r="N58" s="45">
        <f ca="1">IFERROR(__xludf.DUMMYFUNCTION("IMPORTRANGE(""https://docs.google.com/spreadsheets/d/1MeEWN-I1oV_STSDYn1IFDPWt_1FKiwhDph83XaGc0o0/edit?usp=sharing"",""งบพรบ!AD69"")"),796162.55)</f>
        <v>796162.55</v>
      </c>
      <c r="O58" s="45">
        <f t="shared" ca="1" si="32"/>
        <v>96.434417393410854</v>
      </c>
      <c r="P58" s="45">
        <f t="shared" ca="1" si="33"/>
        <v>90.245352633130054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557000</v>
      </c>
      <c r="M59" s="38">
        <f t="shared" ca="1" si="36"/>
        <v>506615.28</v>
      </c>
      <c r="N59" s="38">
        <f t="shared" ca="1" si="36"/>
        <v>506615.28</v>
      </c>
      <c r="O59" s="38">
        <f t="shared" ca="1" si="32"/>
        <v>90.954269299820467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70</v>
      </c>
      <c r="J65" s="143">
        <f t="shared" si="37"/>
        <v>70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914700</v>
      </c>
      <c r="M66" s="154">
        <f t="shared" ca="1" si="39"/>
        <v>925590</v>
      </c>
      <c r="N66" s="154">
        <f t="shared" ca="1" si="39"/>
        <v>673032.17</v>
      </c>
      <c r="O66" s="154">
        <f t="shared" ref="O66:O74" ca="1" si="40">IF(L66&gt;0,N66*100/L66,0)</f>
        <v>73.579552858860822</v>
      </c>
      <c r="P66" s="154">
        <f t="shared" ref="P66:P74" ca="1" si="41">IF(M66&gt;0,N66*100/M66,0)</f>
        <v>72.713854946574614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914700</v>
      </c>
      <c r="M68" s="45">
        <f t="shared" ca="1" si="42"/>
        <v>925590</v>
      </c>
      <c r="N68" s="45">
        <f t="shared" ca="1" si="42"/>
        <v>673032.17</v>
      </c>
      <c r="O68" s="45">
        <f t="shared" ca="1" si="40"/>
        <v>73.579552858860822</v>
      </c>
      <c r="P68" s="45">
        <f t="shared" ca="1" si="41"/>
        <v>72.713854946574614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914700</v>
      </c>
      <c r="M69" s="38">
        <f t="shared" ca="1" si="43"/>
        <v>925590</v>
      </c>
      <c r="N69" s="38">
        <f t="shared" ca="1" si="43"/>
        <v>673032.17</v>
      </c>
      <c r="O69" s="38">
        <f t="shared" ca="1" si="40"/>
        <v>73.579552858860822</v>
      </c>
      <c r="P69" s="38">
        <f t="shared" ca="1" si="41"/>
        <v>72.713854946574614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IFERROR(__xludf.DUMMYFUNCTION("IMPORTRANGE(""https://docs.google.com/spreadsheets/d/1MeEWN-I1oV_STSDYn1IFDPWt_1FKiwhDph83XaGc0o0/edit?usp=sharing"",""งบพรบ!AG69"")"),914700)</f>
        <v>914700</v>
      </c>
      <c r="M71" s="45">
        <f ca="1">IFERROR(__xludf.DUMMYFUNCTION("IMPORTRANGE(""https://docs.google.com/spreadsheets/d/1MeEWN-I1oV_STSDYn1IFDPWt_1FKiwhDph83XaGc0o0/edit?usp=sharing"",""งบพรบ!AL69"")"),925590)</f>
        <v>925590</v>
      </c>
      <c r="N71" s="45">
        <f ca="1">IFERROR(__xludf.DUMMYFUNCTION("IMPORTRANGE(""https://docs.google.com/spreadsheets/d/1MeEWN-I1oV_STSDYn1IFDPWt_1FKiwhDph83XaGc0o0/edit?usp=sharing"",""งบพรบ!AN69"")"),673032.17)</f>
        <v>673032.17</v>
      </c>
      <c r="O71" s="45">
        <f t="shared" ca="1" si="40"/>
        <v>73.579552858860822</v>
      </c>
      <c r="P71" s="45">
        <f t="shared" ca="1" si="41"/>
        <v>72.713854946574614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IFERROR(__xludf.DUMMYFUNCTION("IMPORTRANGE(""https://docs.google.com/spreadsheets/d/1MeEWN-I1oV_STSDYn1IFDPWt_1FKiwhDph83XaGc0o0/edit?usp=sharing"",""งบพรบ!AJ69"")"),0)</f>
        <v>0</v>
      </c>
      <c r="M74" s="45">
        <f ca="1">IFERROR(__xludf.DUMMYFUNCTION("IMPORTRANGE(""https://docs.google.com/spreadsheets/d/1MeEWN-I1oV_STSDYn1IFDPWt_1FKiwhDph83XaGc0o0/edit?usp=sharing"",""งบพรบ!AM69"")"),0)</f>
        <v>0</v>
      </c>
      <c r="N74" s="45">
        <f ca="1">IFERROR(__xludf.DUMMYFUNCTION("IMPORTRANGE(""https://docs.google.com/spreadsheets/d/1MeEWN-I1oV_STSDYn1IFDPWt_1FKiwhDph83XaGc0o0/edit?usp=sharing"",""งบพรบ!AO69"")"),0)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70</v>
      </c>
      <c r="J77" s="37">
        <f t="shared" si="45"/>
        <v>70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IFERROR(__xludf.DUMMYFUNCTION("IMPORTRANGE(""https://docs.google.com/spreadsheets/d/1QqKyyYR6Q21VydFLVH3TRQUabQu_ym0Zz7PgGX0-kHA/edit?usp=sharing"",""แผน!H69"")"),0)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IFERROR(__xludf.DUMMYFUNCTION("IMPORTRANGE(""https://docs.google.com/spreadsheets/d/1QqKyyYR6Q21VydFLVH3TRQUabQu_ym0Zz7PgGX0-kHA/edit?usp=sharing"",""แผน!I69"")"),0)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IFERROR(__xludf.DUMMYFUNCTION("IMPORTRANGE(""https://docs.google.com/spreadsheets/d/1QqKyyYR6Q21VydFLVH3TRQUabQu_ym0Zz7PgGX0-kHA/edit?usp=sharing"",""แผน!F69"")"),1)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IFERROR(__xludf.DUMMYFUNCTION("IMPORTRANGE(""https://docs.google.com/spreadsheets/d/1QqKyyYR6Q21VydFLVH3TRQUabQu_ym0Zz7PgGX0-kHA/edit?usp=sharing"",""แผน!G69"")"),70)</f>
        <v>70</v>
      </c>
      <c r="J81" s="181">
        <v>70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IFERROR(__xludf.DUMMYFUNCTION("IMPORTRANGE(""https://docs.google.com/spreadsheets/d/1QqKyyYR6Q21VydFLVH3TRQUabQu_ym0Zz7PgGX0-kHA/edit?usp=sharing"",""แผน!D69"")"),0)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IFERROR(__xludf.DUMMYFUNCTION("IMPORTRANGE(""https://docs.google.com/spreadsheets/d/1QqKyyYR6Q21VydFLVH3TRQUabQu_ym0Zz7PgGX0-kHA/edit?usp=sharing"",""แผน!E69"")"),0)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IFERROR(__xludf.DUMMYFUNCTION("IMPORTRANGE(""https://docs.google.com/spreadsheets/d/1QqKyyYR6Q21VydFLVH3TRQUabQu_ym0Zz7PgGX0-kHA/edit?usp=sharing"",""แผน!J69"")"),1)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98960</v>
      </c>
      <c r="M88" s="154">
        <f t="shared" ca="1" si="49"/>
        <v>98960</v>
      </c>
      <c r="N88" s="154">
        <f t="shared" ca="1" si="49"/>
        <v>88760</v>
      </c>
      <c r="O88" s="154">
        <f t="shared" ref="O88:O96" ca="1" si="50">IF(L88&gt;0,N88*100/L88,0)</f>
        <v>89.692805173807599</v>
      </c>
      <c r="P88" s="154">
        <f t="shared" ref="P88:P96" ca="1" si="51">IF(M88&gt;0,N88*100/M88,0)</f>
        <v>89.692805173807599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98960</v>
      </c>
      <c r="M90" s="45">
        <f t="shared" ca="1" si="52"/>
        <v>98960</v>
      </c>
      <c r="N90" s="45">
        <f t="shared" ca="1" si="52"/>
        <v>88760</v>
      </c>
      <c r="O90" s="45">
        <f t="shared" ca="1" si="50"/>
        <v>89.692805173807599</v>
      </c>
      <c r="P90" s="45">
        <f t="shared" ca="1" si="51"/>
        <v>89.692805173807599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98960</v>
      </c>
      <c r="M91" s="38">
        <f t="shared" ca="1" si="53"/>
        <v>98960</v>
      </c>
      <c r="N91" s="38">
        <f t="shared" ca="1" si="53"/>
        <v>88760</v>
      </c>
      <c r="O91" s="38">
        <f t="shared" ca="1" si="50"/>
        <v>89.692805173807599</v>
      </c>
      <c r="P91" s="38">
        <f t="shared" ca="1" si="51"/>
        <v>89.692805173807599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IFERROR(__xludf.DUMMYFUNCTION("IMPORTRANGE(""https://docs.google.com/spreadsheets/d/1MeEWN-I1oV_STSDYn1IFDPWt_1FKiwhDph83XaGc0o0/edit?usp=sharing"",""งบพรบ!AQ69"")"),98960)</f>
        <v>98960</v>
      </c>
      <c r="M93" s="45">
        <f ca="1">IFERROR(__xludf.DUMMYFUNCTION("IMPORTRANGE(""https://docs.google.com/spreadsheets/d/1MeEWN-I1oV_STSDYn1IFDPWt_1FKiwhDph83XaGc0o0/edit?usp=sharing"",""งบพรบ!AV69"")"),98960)</f>
        <v>98960</v>
      </c>
      <c r="N93" s="45">
        <f ca="1">IFERROR(__xludf.DUMMYFUNCTION("IMPORTRANGE(""https://docs.google.com/spreadsheets/d/1MeEWN-I1oV_STSDYn1IFDPWt_1FKiwhDph83XaGc0o0/edit?usp=sharing"",""งบพรบ!AX69"")"),88760)</f>
        <v>88760</v>
      </c>
      <c r="O93" s="45">
        <f t="shared" ca="1" si="50"/>
        <v>89.692805173807599</v>
      </c>
      <c r="P93" s="45">
        <f t="shared" ca="1" si="51"/>
        <v>89.692805173807599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IFERROR(__xludf.DUMMYFUNCTION("IMPORTRANGE(""https://docs.google.com/spreadsheets/d/1MeEWN-I1oV_STSDYn1IFDPWt_1FKiwhDph83XaGc0o0/edit?usp=sharing"",""งบพรบ!AT69"")"),0)</f>
        <v>0</v>
      </c>
      <c r="M96" s="45">
        <f ca="1">IFERROR(__xludf.DUMMYFUNCTION("IMPORTRANGE(""https://docs.google.com/spreadsheets/d/1MeEWN-I1oV_STSDYn1IFDPWt_1FKiwhDph83XaGc0o0/edit?usp=sharing"",""งบพรบ!AW69"")"),0)</f>
        <v>0</v>
      </c>
      <c r="N96" s="45">
        <f ca="1">IFERROR(__xludf.DUMMYFUNCTION("IMPORTRANGE(""https://docs.google.com/spreadsheets/d/1MeEWN-I1oV_STSDYn1IFDPWt_1FKiwhDph83XaGc0o0/edit?usp=sharing"",""งบพรบ!AY69"")"),0)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IFERROR(__xludf.DUMMYFUNCTION("IMPORTRANGE(""https://docs.google.com/spreadsheets/d/1QqKyyYR6Q21VydFLVH3TRQUabQu_ym0Zz7PgGX0-kHA/edit?usp=sharing"",""แผน!K69"")"),45)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IFERROR(__xludf.DUMMYFUNCTION("IMPORTRANGE(""https://docs.google.com/spreadsheets/d/1QqKyyYR6Q21VydFLVH3TRQUabQu_ym0Zz7PgGX0-kHA/edit?usp=sharing"",""แผน!L69"")"),15)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IFERROR(__xludf.DUMMYFUNCTION("IMPORTRANGE(""https://docs.google.com/spreadsheets/d/1QqKyyYR6Q21VydFLVH3TRQUabQu_ym0Zz7PgGX0-kHA/edit?usp=sharing"",""แผน!M69"")"),2)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IFERROR(__xludf.DUMMYFUNCTION("IMPORTRANGE(""https://docs.google.com/spreadsheets/d/1QqKyyYR6Q21VydFLVH3TRQUabQu_ym0Zz7PgGX0-kHA/edit?usp=sharing"",""แผน!N69"")"),45)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IFERROR(__xludf.DUMMYFUNCTION("IMPORTRANGE(""https://docs.google.com/spreadsheets/d/1QqKyyYR6Q21VydFLVH3TRQUabQu_ym0Zz7PgGX0-kHA/edit?usp=sharing"",""แผน!O69"")"),15)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IFERROR(__xludf.DUMMYFUNCTION("IMPORTRANGE(""https://docs.google.com/spreadsheets/d/1QqKyyYR6Q21VydFLVH3TRQUabQu_ym0Zz7PgGX0-kHA/edit?usp=sharing"",""แผน!O69"")"),15)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IFERROR(__xludf.DUMMYFUNCTION("IMPORTRANGE(""https://docs.google.com/spreadsheets/d/1QqKyyYR6Q21VydFLVH3TRQUabQu_ym0Zz7PgGX0-kHA/edit?usp=sharing"",""แผน!P69"")"),1)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IFERROR(__xludf.DUMMYFUNCTION("IMPORTRANGE(""https://docs.google.com/spreadsheets/d/1QqKyyYR6Q21VydFLVH3TRQUabQu_ym0Zz7PgGX0-kHA/edit?usp=sharing"",""แผน!P69"")"),1)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IFERROR(__xludf.DUMMYFUNCTION("IMPORTRANGE(""https://docs.google.com/spreadsheets/d/1QqKyyYR6Q21VydFLVH3TRQUabQu_ym0Zz7PgGX0-kHA/edit?usp=sharing"",""แผน!Q69"")"),1)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IFERROR(__xludf.DUMMYFUNCTION("IMPORTRANGE(""https://docs.google.com/spreadsheets/d/1QqKyyYR6Q21VydFLVH3TRQUabQu_ym0Zz7PgGX0-kHA/edit?usp=sharing"",""แผน!Q69"")"),1)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IFERROR(__xludf.DUMMYFUNCTION("IMPORTRANGE(""https://docs.google.com/spreadsheets/d/1QqKyyYR6Q21VydFLVH3TRQUabQu_ym0Zz7PgGX0-kHA/edit?usp=sharing"",""แผน!R69"")"),15)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IFERROR(__xludf.DUMMYFUNCTION("IMPORTRANGE(""https://docs.google.com/spreadsheets/d/1QqKyyYR6Q21VydFLVH3TRQUabQu_ym0Zz7PgGX0-kHA/edit?usp=sharing"",""แผน!R69"")"),15)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IFERROR(__xludf.DUMMYFUNCTION("IMPORTRANGE(""https://docs.google.com/spreadsheets/d/1QqKyyYR6Q21VydFLVH3TRQUabQu_ym0Zz7PgGX0-kHA/edit?usp=sharing"",""แผน!R69"")"),15)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IFERROR(__xludf.DUMMYFUNCTION("IMPORTRANGE(""https://docs.google.com/spreadsheets/d/1QqKyyYR6Q21VydFLVH3TRQUabQu_ym0Zz7PgGX0-kHA/edit?usp=sharing"",""แผน!S69"")"),1)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IFERROR(__xludf.DUMMYFUNCTION("IMPORTRANGE(""https://docs.google.com/spreadsheets/d/1QqKyyYR6Q21VydFLVH3TRQUabQu_ym0Zz7PgGX0-kHA/edit?usp=sharing"",""แผน!T69"")"),1)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26800</v>
      </c>
      <c r="M119" s="154">
        <f t="shared" ca="1" si="60"/>
        <v>26800</v>
      </c>
      <c r="N119" s="154">
        <f t="shared" ca="1" si="60"/>
        <v>26800</v>
      </c>
      <c r="O119" s="154">
        <f t="shared" ref="O119:O127" ca="1" si="61">IF(L119&gt;0,N119*100/L119,0)</f>
        <v>100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26800</v>
      </c>
      <c r="M121" s="45">
        <f t="shared" ca="1" si="63"/>
        <v>26800</v>
      </c>
      <c r="N121" s="45">
        <f t="shared" ca="1" si="63"/>
        <v>26800</v>
      </c>
      <c r="O121" s="45">
        <f t="shared" ca="1" si="61"/>
        <v>100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IFERROR(__xludf.DUMMYFUNCTION("IMPORTRANGE(""https://docs.google.com/spreadsheets/d/1MeEWN-I1oV_STSDYn1IFDPWt_1FKiwhDph83XaGc0o0/edit?usp=sharing"",""งบพรบ!BA69"")"),0)</f>
        <v>0</v>
      </c>
      <c r="M124" s="45">
        <f ca="1">IFERROR(__xludf.DUMMYFUNCTION("IMPORTRANGE(""https://docs.google.com/spreadsheets/d/1MeEWN-I1oV_STSDYn1IFDPWt_1FKiwhDph83XaGc0o0/edit?usp=sharing"",""งบพรบ!BF69"")"),0)</f>
        <v>0</v>
      </c>
      <c r="N124" s="45">
        <f ca="1">IFERROR(__xludf.DUMMYFUNCTION("IMPORTRANGE(""https://docs.google.com/spreadsheets/d/1MeEWN-I1oV_STSDYn1IFDPWt_1FKiwhDph83XaGc0o0/edit?usp=sharing"",""งบพรบ!BH69"")"),0)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26800</v>
      </c>
      <c r="M125" s="38">
        <f t="shared" ca="1" si="65"/>
        <v>26800</v>
      </c>
      <c r="N125" s="38">
        <f t="shared" ca="1" si="65"/>
        <v>26800</v>
      </c>
      <c r="O125" s="38">
        <f t="shared" ca="1" si="61"/>
        <v>100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IFERROR(__xludf.DUMMYFUNCTION("IMPORTRANGE(""https://docs.google.com/spreadsheets/d/1MeEWN-I1oV_STSDYn1IFDPWt_1FKiwhDph83XaGc0o0/edit?usp=sharing"",""งบพรบ!BD69"")"),26800)</f>
        <v>26800</v>
      </c>
      <c r="M127" s="45">
        <f ca="1">IFERROR(__xludf.DUMMYFUNCTION("IMPORTRANGE(""https://docs.google.com/spreadsheets/d/1MeEWN-I1oV_STSDYn1IFDPWt_1FKiwhDph83XaGc0o0/edit?usp=sharing"",""งบพรบ!BG69"")"),26800)</f>
        <v>26800</v>
      </c>
      <c r="N127" s="45">
        <f ca="1">IFERROR(__xludf.DUMMYFUNCTION("IMPORTRANGE(""https://docs.google.com/spreadsheets/d/1MeEWN-I1oV_STSDYn1IFDPWt_1FKiwhDph83XaGc0o0/edit?usp=sharing"",""งบพรบ!BI69"")"),26800)</f>
        <v>26800</v>
      </c>
      <c r="O127" s="45">
        <f t="shared" ca="1" si="61"/>
        <v>100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IFERROR(__xludf.DUMMYFUNCTION("IMPORTRANGE(""https://docs.google.com/spreadsheets/d/1MeEWN-I1oV_STSDYn1IFDPWt_1FKiwhDph83XaGc0o0/edit?usp=sharing"",""งบพรบ!BK69"")"),0)</f>
        <v>0</v>
      </c>
      <c r="M137" s="45">
        <f ca="1">IFERROR(__xludf.DUMMYFUNCTION("IMPORTRANGE(""https://docs.google.com/spreadsheets/d/1MeEWN-I1oV_STSDYn1IFDPWt_1FKiwhDph83XaGc0o0/edit?usp=sharing"",""งบพรบ!BP69"")"),0)</f>
        <v>0</v>
      </c>
      <c r="N137" s="45">
        <f ca="1">IFERROR(__xludf.DUMMYFUNCTION("IMPORTRANGE(""https://docs.google.com/spreadsheets/d/1MeEWN-I1oV_STSDYn1IFDPWt_1FKiwhDph83XaGc0o0/edit?usp=sharing"",""งบพรบ!BR69"")"),0)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IFERROR(__xludf.DUMMYFUNCTION("IMPORTRANGE(""https://docs.google.com/spreadsheets/d/1MeEWN-I1oV_STSDYn1IFDPWt_1FKiwhDph83XaGc0o0/edit?usp=sharing"",""งบพรบ!BN69"")"),0)</f>
        <v>0</v>
      </c>
      <c r="M140" s="45">
        <f ca="1">IFERROR(__xludf.DUMMYFUNCTION("IMPORTRANGE(""https://docs.google.com/spreadsheets/d/1MeEWN-I1oV_STSDYn1IFDPWt_1FKiwhDph83XaGc0o0/edit?usp=sharing"",""งบพรบ!BQ69"")"),0)</f>
        <v>0</v>
      </c>
      <c r="N140" s="45">
        <f ca="1">IFERROR(__xludf.DUMMYFUNCTION("IMPORTRANGE(""https://docs.google.com/spreadsheets/d/1MeEWN-I1oV_STSDYn1IFDPWt_1FKiwhDph83XaGc0o0/edit?usp=sharing"",""งบพรบ!BS69"")"),0)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IFERROR(__xludf.DUMMYFUNCTION("IMPORTRANGE(""https://docs.google.com/spreadsheets/d/1QqKyyYR6Q21VydFLVH3TRQUabQu_ym0Zz7PgGX0-kHA/edit?usp=sharing"",""แผน!U69"")"),0)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IFERROR(__xludf.DUMMYFUNCTION("IMPORTRANGE(""https://docs.google.com/spreadsheets/d/1QqKyyYR6Q21VydFLVH3TRQUabQu_ym0Zz7PgGX0-kHA/edit?usp=sharing"",""แผน!V69"")"),0)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IFERROR(__xludf.DUMMYFUNCTION("IMPORTRANGE(""https://docs.google.com/spreadsheets/d/1QqKyyYR6Q21VydFLVH3TRQUabQu_ym0Zz7PgGX0-kHA/edit?usp=sharing"",""แผน!W69"")"),0)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IFERROR(__xludf.DUMMYFUNCTION("IMPORTRANGE(""https://docs.google.com/spreadsheets/d/1MeEWN-I1oV_STSDYn1IFDPWt_1FKiwhDph83XaGc0o0/edit?usp=sharing"",""งบพรบ!BU69"")"),0)</f>
        <v>0</v>
      </c>
      <c r="M154" s="45">
        <f ca="1">IFERROR(__xludf.DUMMYFUNCTION("IMPORTRANGE(""https://docs.google.com/spreadsheets/d/1MeEWN-I1oV_STSDYn1IFDPWt_1FKiwhDph83XaGc0o0/edit?usp=sharing"",""งบพรบ!BZ69"")"),0)</f>
        <v>0</v>
      </c>
      <c r="N154" s="45">
        <f ca="1">IFERROR(__xludf.DUMMYFUNCTION("IMPORTRANGE(""https://docs.google.com/spreadsheets/d/1MeEWN-I1oV_STSDYn1IFDPWt_1FKiwhDph83XaGc0o0/edit?usp=sharing"",""งบพรบ!CB69"")"),0)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IFERROR(__xludf.DUMMYFUNCTION("IMPORTRANGE(""https://docs.google.com/spreadsheets/d/1MeEWN-I1oV_STSDYn1IFDPWt_1FKiwhDph83XaGc0o0/edit?usp=sharing"",""งบพรบ!BX69"")"),0)</f>
        <v>0</v>
      </c>
      <c r="M157" s="45">
        <f ca="1">IFERROR(__xludf.DUMMYFUNCTION("IMPORTRANGE(""https://docs.google.com/spreadsheets/d/1MeEWN-I1oV_STSDYn1IFDPWt_1FKiwhDph83XaGc0o0/edit?usp=sharing"",""งบพรบ!CA69"")"),0)</f>
        <v>0</v>
      </c>
      <c r="N157" s="45">
        <f ca="1">IFERROR(__xludf.DUMMYFUNCTION("IMPORTRANGE(""https://docs.google.com/spreadsheets/d/1MeEWN-I1oV_STSDYn1IFDPWt_1FKiwhDph83XaGc0o0/edit?usp=sharing"",""งบพรบ!CC69"")"),0)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21050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21050</v>
      </c>
      <c r="N167" s="45">
        <f t="shared" ca="1" si="87"/>
        <v>21050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21050</v>
      </c>
      <c r="N168" s="38">
        <f t="shared" ca="1" si="88"/>
        <v>21050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IFERROR(__xludf.DUMMYFUNCTION("IMPORTRANGE(""https://docs.google.com/spreadsheets/d/1MeEWN-I1oV_STSDYn1IFDPWt_1FKiwhDph83XaGc0o0/edit?usp=sharing"",""งบพรบ!CE69"")"),21050)</f>
        <v>21050</v>
      </c>
      <c r="M170" s="45">
        <f ca="1">IFERROR(__xludf.DUMMYFUNCTION("IMPORTRANGE(""https://docs.google.com/spreadsheets/d/1MeEWN-I1oV_STSDYn1IFDPWt_1FKiwhDph83XaGc0o0/edit?usp=sharing"",""งบพรบ!CJ69"")"),21050)</f>
        <v>21050</v>
      </c>
      <c r="N170" s="45">
        <f ca="1">IFERROR(__xludf.DUMMYFUNCTION("IMPORTRANGE(""https://docs.google.com/spreadsheets/d/1MeEWN-I1oV_STSDYn1IFDPWt_1FKiwhDph83XaGc0o0/edit?usp=sharing"",""งบพรบ!CL69"")"),21050)</f>
        <v>21050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IFERROR(__xludf.DUMMYFUNCTION("IMPORTRANGE(""https://docs.google.com/spreadsheets/d/1MeEWN-I1oV_STSDYn1IFDPWt_1FKiwhDph83XaGc0o0/edit?usp=sharing"",""งบพรบ!CH69"")"),0)</f>
        <v>0</v>
      </c>
      <c r="M173" s="45">
        <f ca="1">IFERROR(__xludf.DUMMYFUNCTION("IMPORTRANGE(""https://docs.google.com/spreadsheets/d/1MeEWN-I1oV_STSDYn1IFDPWt_1FKiwhDph83XaGc0o0/edit?usp=sharing"",""งบพรบ!CK69"")"),0)</f>
        <v>0</v>
      </c>
      <c r="N173" s="45">
        <f ca="1">IFERROR(__xludf.DUMMYFUNCTION("IMPORTRANGE(""https://docs.google.com/spreadsheets/d/1MeEWN-I1oV_STSDYn1IFDPWt_1FKiwhDph83XaGc0o0/edit?usp=sharing"",""งบพรบ!CM69"")"),0)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IFERROR(__xludf.DUMMYFUNCTION("IMPORTRANGE(""https://docs.google.com/spreadsheets/d/1QqKyyYR6Q21VydFLVH3TRQUabQu_ym0Zz7PgGX0-kHA/edit?usp=sharing"",""แผน!Y69"")"),10)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60</v>
      </c>
      <c r="J180" s="242">
        <f t="shared" si="91"/>
        <v>60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276800</v>
      </c>
      <c r="M181" s="154">
        <f t="shared" ca="1" si="92"/>
        <v>283520</v>
      </c>
      <c r="N181" s="154">
        <f t="shared" ca="1" si="92"/>
        <v>265134</v>
      </c>
      <c r="O181" s="154">
        <f t="shared" ref="O181:O189" ca="1" si="93">IF(L181&gt;0,N181*100/L181,0)</f>
        <v>95.785404624277461</v>
      </c>
      <c r="P181" s="154">
        <f t="shared" ref="P181:P189" ca="1" si="94">IF(M181&gt;0,N181*100/M181,0)</f>
        <v>93.51509593679458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276800</v>
      </c>
      <c r="M183" s="45">
        <f t="shared" ca="1" si="95"/>
        <v>283520</v>
      </c>
      <c r="N183" s="45">
        <f t="shared" ca="1" si="95"/>
        <v>265134</v>
      </c>
      <c r="O183" s="45">
        <f t="shared" ca="1" si="93"/>
        <v>95.785404624277461</v>
      </c>
      <c r="P183" s="45">
        <f t="shared" ca="1" si="94"/>
        <v>93.51509593679458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276800</v>
      </c>
      <c r="M184" s="38">
        <f t="shared" ca="1" si="96"/>
        <v>283520</v>
      </c>
      <c r="N184" s="38">
        <f t="shared" ca="1" si="96"/>
        <v>265134</v>
      </c>
      <c r="O184" s="38">
        <f t="shared" ca="1" si="93"/>
        <v>95.785404624277461</v>
      </c>
      <c r="P184" s="38">
        <f t="shared" ca="1" si="94"/>
        <v>93.51509593679458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IFERROR(__xludf.DUMMYFUNCTION("IMPORTRANGE(""https://docs.google.com/spreadsheets/d/1MeEWN-I1oV_STSDYn1IFDPWt_1FKiwhDph83XaGc0o0/edit?usp=sharing"",""งบพรบ!CO69"")"),276800)</f>
        <v>276800</v>
      </c>
      <c r="M186" s="45">
        <f ca="1">IFERROR(__xludf.DUMMYFUNCTION("IMPORTRANGE(""https://docs.google.com/spreadsheets/d/1MeEWN-I1oV_STSDYn1IFDPWt_1FKiwhDph83XaGc0o0/edit?usp=sharing"",""งบพรบ!CT69"")"),283520)</f>
        <v>283520</v>
      </c>
      <c r="N186" s="45">
        <f ca="1">IFERROR(__xludf.DUMMYFUNCTION("IMPORTRANGE(""https://docs.google.com/spreadsheets/d/1MeEWN-I1oV_STSDYn1IFDPWt_1FKiwhDph83XaGc0o0/edit?usp=sharing"",""งบพรบ!CV69"")"),265134)</f>
        <v>265134</v>
      </c>
      <c r="O186" s="45">
        <f t="shared" ca="1" si="93"/>
        <v>95.785404624277461</v>
      </c>
      <c r="P186" s="45">
        <f t="shared" ca="1" si="94"/>
        <v>93.51509593679458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IFERROR(__xludf.DUMMYFUNCTION("IMPORTRANGE(""https://docs.google.com/spreadsheets/d/1MeEWN-I1oV_STSDYn1IFDPWt_1FKiwhDph83XaGc0o0/edit?usp=sharing"",""งบพรบ!CR69"")"),0)</f>
        <v>0</v>
      </c>
      <c r="M189" s="45">
        <f ca="1">IFERROR(__xludf.DUMMYFUNCTION("IMPORTRANGE(""https://docs.google.com/spreadsheets/d/1MeEWN-I1oV_STSDYn1IFDPWt_1FKiwhDph83XaGc0o0/edit?usp=sharing"",""งบพรบ!CU69"")"),0)</f>
        <v>0</v>
      </c>
      <c r="N189" s="45">
        <f ca="1">IFERROR(__xludf.DUMMYFUNCTION("IMPORTRANGE(""https://docs.google.com/spreadsheets/d/1MeEWN-I1oV_STSDYn1IFDPWt_1FKiwhDph83XaGc0o0/edit?usp=sharing"",""งบพรบ!CW69"")"),0)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IFERROR(__xludf.DUMMYFUNCTION("IMPORTRANGE(""https://docs.google.com/spreadsheets/d/1QqKyyYR6Q21VydFLVH3TRQUabQu_ym0Zz7PgGX0-kHA/edit?usp=sharing"",""แผน!Z69"")"),6000)</f>
        <v>6000</v>
      </c>
      <c r="M191" s="154"/>
      <c r="N191" s="264">
        <v>2180</v>
      </c>
      <c r="O191" s="154">
        <f ca="1">IF(L191&gt;0,N191*100/L191,0)</f>
        <v>36.333333333333336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IFERROR(__xludf.DUMMYFUNCTION("IMPORTRANGE(""https://docs.google.com/spreadsheets/d/1QqKyyYR6Q21VydFLVH3TRQUabQu_ym0Zz7PgGX0-kHA/edit?usp=sharing"",""แผน!AC69"")"),4)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IFERROR(__xludf.DUMMYFUNCTION("IMPORTRANGE(""https://docs.google.com/spreadsheets/d/1QqKyyYR6Q21VydFLVH3TRQUabQu_ym0Zz7PgGX0-kHA/edit?usp=sharing"",""แผน!AE69"")"),3000)</f>
        <v>3000</v>
      </c>
      <c r="M199" s="38"/>
      <c r="N199" s="271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IFERROR(__xludf.DUMMYFUNCTION("IMPORTRANGE(""https://docs.google.com/spreadsheets/d/1QqKyyYR6Q21VydFLVH3TRQUabQu_ym0Zz7PgGX0-kHA/edit?usp=sharing"",""แผน!AF69"")"),24000)</f>
        <v>24000</v>
      </c>
      <c r="M200" s="38"/>
      <c r="N200" s="271">
        <v>24000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IFERROR(__xludf.DUMMYFUNCTION("IMPORTRANGE(""https://docs.google.com/spreadsheets/d/1QqKyyYR6Q21VydFLVH3TRQUabQu_ym0Zz7PgGX0-kHA/edit?usp=sharing"",""แผน!AG69"")"),12000)</f>
        <v>12000</v>
      </c>
      <c r="M201" s="38"/>
      <c r="N201" s="271">
        <v>12000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IFERROR(__xludf.DUMMYFUNCTION("IMPORTRANGE(""https://docs.google.com/spreadsheets/d/1QqKyyYR6Q21VydFLVH3TRQUabQu_ym0Zz7PgGX0-kHA/edit?usp=sharing"",""แผน!AH69"")"),0)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IFERROR(__xludf.DUMMYFUNCTION("IMPORTRANGE(""https://docs.google.com/spreadsheets/d/1QqKyyYR6Q21VydFLVH3TRQUabQu_ym0Zz7PgGX0-kHA/edit?usp=sharing"",""แผน!AI69"")"),3)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6</v>
      </c>
      <c r="J208" s="260">
        <f t="shared" si="101"/>
        <v>6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IFERROR(__xludf.DUMMYFUNCTION("IMPORTRANGE(""https://docs.google.com/spreadsheets/d/1QqKyyYR6Q21VydFLVH3TRQUabQu_ym0Zz7PgGX0-kHA/edit?usp=sharing"",""แผน!AK69"")"),6000)</f>
        <v>6000</v>
      </c>
      <c r="M210" s="38"/>
      <c r="N210" s="271">
        <v>6000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IFERROR(__xludf.DUMMYFUNCTION("IMPORTRANGE(""https://docs.google.com/spreadsheets/d/1QqKyyYR6Q21VydFLVH3TRQUabQu_ym0Zz7PgGX0-kHA/edit?usp=sharing"",""แผน!AL69"")"),30000)</f>
        <v>30000</v>
      </c>
      <c r="M211" s="38"/>
      <c r="N211" s="271">
        <v>30000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IFERROR(__xludf.DUMMYFUNCTION("IMPORTRANGE(""https://docs.google.com/spreadsheets/d/1QqKyyYR6Q21VydFLVH3TRQUabQu_ym0Zz7PgGX0-kHA/edit?usp=sharing"",""แผน!AM69"")"),48000)</f>
        <v>48000</v>
      </c>
      <c r="M212" s="38"/>
      <c r="N212" s="271">
        <v>48000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IFERROR(__xludf.DUMMYFUNCTION("IMPORTRANGE(""https://docs.google.com/spreadsheets/d/1QqKyyYR6Q21VydFLVH3TRQUabQu_ym0Zz7PgGX0-kHA/edit?usp=sharing"",""แผน!AN69"")"),6)</f>
        <v>6</v>
      </c>
      <c r="J214" s="181">
        <v>6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IFERROR(__xludf.DUMMYFUNCTION("IMPORTRANGE(""https://docs.google.com/spreadsheets/d/1QqKyyYR6Q21VydFLVH3TRQUabQu_ym0Zz7PgGX0-kHA/edit?usp=sharing"",""แผน!AN69"")"),6)</f>
        <v>6</v>
      </c>
      <c r="J215" s="181">
        <v>6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40000</v>
      </c>
      <c r="J216" s="260">
        <f t="shared" si="103"/>
        <v>40000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15000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IFERROR(__xludf.DUMMYFUNCTION("IMPORTRANGE(""https://docs.google.com/spreadsheets/d/1QqKyyYR6Q21VydFLVH3TRQUabQu_ym0Zz7PgGX0-kHA/edit?usp=sharing"",""แผน!AP69"")"),5000)</f>
        <v>5000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IFERROR(__xludf.DUMMYFUNCTION("IMPORTRANGE(""https://docs.google.com/spreadsheets/d/1QqKyyYR6Q21VydFLVH3TRQUabQu_ym0Zz7PgGX0-kHA/edit?usp=sharing"",""แผน!AQ69"")"),10000)</f>
        <v>10000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IFERROR(__xludf.DUMMYFUNCTION("IMPORTRANGE(""https://docs.google.com/spreadsheets/d/1QqKyyYR6Q21VydFLVH3TRQUabQu_ym0Zz7PgGX0-kHA/edit?usp=sharing"",""แผน!AR69"")"),0)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IFERROR(__xludf.DUMMYFUNCTION("IMPORTRANGE(""https://docs.google.com/spreadsheets/d/1QqKyyYR6Q21VydFLVH3TRQUabQu_ym0Zz7PgGX0-kHA/edit?usp=sharing"",""แผน!AT69"")"),40000)</f>
        <v>40000</v>
      </c>
      <c r="J223" s="181">
        <v>40000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IFERROR(__xludf.DUMMYFUNCTION("IMPORTRANGE(""https://docs.google.com/spreadsheets/d/1QqKyyYR6Q21VydFLVH3TRQUabQu_ym0Zz7PgGX0-kHA/edit?usp=sharing"",""แผน!AT69"")"),40000)</f>
        <v>40000</v>
      </c>
      <c r="J224" s="181">
        <v>40000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60</v>
      </c>
      <c r="J226" s="330">
        <f t="shared" si="105"/>
        <v>60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132800</v>
      </c>
      <c r="M227" s="341"/>
      <c r="N227" s="341">
        <f t="shared" ref="N227:N231" si="107">N238+N249</f>
        <v>123580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40000</v>
      </c>
      <c r="M228" s="45"/>
      <c r="N228" s="45">
        <f t="shared" si="107"/>
        <v>30990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52800</v>
      </c>
      <c r="M229" s="45"/>
      <c r="N229" s="45">
        <f t="shared" si="107"/>
        <v>52800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20000</v>
      </c>
      <c r="M230" s="45"/>
      <c r="N230" s="45">
        <f t="shared" si="107"/>
        <v>20000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20000</v>
      </c>
      <c r="M231" s="45"/>
      <c r="N231" s="45">
        <f t="shared" si="107"/>
        <v>19790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60</v>
      </c>
      <c r="J233" s="44">
        <f t="shared" si="108"/>
        <v>60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20</v>
      </c>
      <c r="J235" s="44">
        <f t="shared" si="109"/>
        <v>20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2</v>
      </c>
      <c r="J236" s="44">
        <f t="shared" si="109"/>
        <v>2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20</v>
      </c>
      <c r="J237" s="260">
        <f t="shared" si="111"/>
        <v>20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68800</v>
      </c>
      <c r="M238" s="154"/>
      <c r="N238" s="154">
        <f>N239+N240+N241+N242</f>
        <v>62210</v>
      </c>
      <c r="O238" s="154">
        <f ca="1">IF(L238&gt;0,N238*100/L238,0)</f>
        <v>90.42151162790698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IFERROR(__xludf.DUMMYFUNCTION("IMPORTRANGE(""https://docs.google.com/spreadsheets/d/1QqKyyYR6Q21VydFLVH3TRQUabQu_ym0Zz7PgGX0-kHA/edit?usp=sharing"",""แผน!AV69"")"),20000)</f>
        <v>20000</v>
      </c>
      <c r="M239" s="270"/>
      <c r="N239" s="808">
        <v>13620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IFERROR(__xludf.DUMMYFUNCTION("IMPORTRANGE(""https://docs.google.com/spreadsheets/d/1QqKyyYR6Q21VydFLVH3TRQUabQu_ym0Zz7PgGX0-kHA/edit?usp=sharing"",""แผน!AW69"")"),18800)</f>
        <v>18800</v>
      </c>
      <c r="M240" s="270"/>
      <c r="N240" s="808">
        <v>18800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IFERROR(__xludf.DUMMYFUNCTION("IMPORTRANGE(""https://docs.google.com/spreadsheets/d/1QqKyyYR6Q21VydFLVH3TRQUabQu_ym0Zz7PgGX0-kHA/edit?usp=sharing"",""แผน!AX69"")"),20000)</f>
        <v>20000</v>
      </c>
      <c r="M241" s="270"/>
      <c r="N241" s="808">
        <v>20000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IFERROR(__xludf.DUMMYFUNCTION("IMPORTRANGE(""https://docs.google.com/spreadsheets/d/1QqKyyYR6Q21VydFLVH3TRQUabQu_ym0Zz7PgGX0-kHA/edit?usp=sharing"",""แผน!AY69"")"),10000)</f>
        <v>10000</v>
      </c>
      <c r="M242" s="270"/>
      <c r="N242" s="808">
        <v>9790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IFERROR(__xludf.DUMMYFUNCTION("IMPORTRANGE(""https://docs.google.com/spreadsheets/d/1QqKyyYR6Q21VydFLVH3TRQUabQu_ym0Zz7PgGX0-kHA/edit?usp=sharing"",""แผน!BE69"")"),20)</f>
        <v>20</v>
      </c>
      <c r="J244" s="181">
        <v>20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20</v>
      </c>
      <c r="J246" s="181">
        <v>20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40</v>
      </c>
      <c r="J248" s="260">
        <f t="shared" si="113"/>
        <v>40</v>
      </c>
      <c r="K248" s="261">
        <f t="shared" ca="1" si="112"/>
        <v>100</v>
      </c>
      <c r="L248" s="251"/>
      <c r="M248" s="251"/>
      <c r="N248" s="251"/>
      <c r="O248" s="251"/>
      <c r="P248" s="251"/>
    </row>
    <row r="249" spans="1:26" ht="19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64000</v>
      </c>
      <c r="M249" s="154"/>
      <c r="N249" s="154">
        <f>N250+N251+N252+N253</f>
        <v>61370</v>
      </c>
      <c r="O249" s="154">
        <f ca="1">IF(L249&gt;0,N249*100/L249,0)</f>
        <v>95.890625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IFERROR(__xludf.DUMMYFUNCTION("IMPORTRANGE(""https://docs.google.com/spreadsheets/d/1QqKyyYR6Q21VydFLVH3TRQUabQu_ym0Zz7PgGX0-kHA/edit?usp=sharing"",""แผน!AZ69"")"),20000)</f>
        <v>20000</v>
      </c>
      <c r="M250" s="270"/>
      <c r="N250" s="808">
        <v>17370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IFERROR(__xludf.DUMMYFUNCTION("IMPORTRANGE(""https://docs.google.com/spreadsheets/d/1QqKyyYR6Q21VydFLVH3TRQUabQu_ym0Zz7PgGX0-kHA/edit?usp=sharing"",""แผน!BA69"")"),34000)</f>
        <v>34000</v>
      </c>
      <c r="M251" s="270"/>
      <c r="N251" s="808">
        <v>34000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IFERROR(__xludf.DUMMYFUNCTION("IMPORTRANGE(""https://docs.google.com/spreadsheets/d/1QqKyyYR6Q21VydFLVH3TRQUabQu_ym0Zz7PgGX0-kHA/edit?usp=sharing"",""แผน!BB69"")"),0)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IFERROR(__xludf.DUMMYFUNCTION("IMPORTRANGE(""https://docs.google.com/spreadsheets/d/1QqKyyYR6Q21VydFLVH3TRQUabQu_ym0Zz7PgGX0-kHA/edit?usp=sharing"",""แผน!BC69"")"),10000)</f>
        <v>10000</v>
      </c>
      <c r="M253" s="270"/>
      <c r="N253" s="808">
        <v>10000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IFERROR(__xludf.DUMMYFUNCTION("IMPORTRANGE(""https://docs.google.com/spreadsheets/d/1QqKyyYR6Q21VydFLVH3TRQUabQu_ym0Zz7PgGX0-kHA/edit?usp=sharing"",""แผน!BF69"")"),40)</f>
        <v>40</v>
      </c>
      <c r="J255" s="181"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>
        <v>0</v>
      </c>
      <c r="J257" s="181"/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>
        <v>1</v>
      </c>
      <c r="J258" s="181">
        <v>1</v>
      </c>
      <c r="K258" s="38">
        <f t="shared" si="114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20140</v>
      </c>
      <c r="O261" s="154">
        <f t="shared" ref="O261:O269" ca="1" si="117">IF(L261&gt;0,N261*100/L261,0)</f>
        <v>74.869888475836433</v>
      </c>
      <c r="P261" s="154">
        <f t="shared" ref="P261:P269" ca="1" si="118">IF(M261&gt;0,N261*100/M261,0)</f>
        <v>74.869888475836433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20140</v>
      </c>
      <c r="O263" s="45">
        <f t="shared" ca="1" si="117"/>
        <v>74.869888475836433</v>
      </c>
      <c r="P263" s="45">
        <f t="shared" ca="1" si="118"/>
        <v>74.869888475836433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20140</v>
      </c>
      <c r="O264" s="38">
        <f t="shared" ca="1" si="117"/>
        <v>74.869888475836433</v>
      </c>
      <c r="P264" s="38">
        <f t="shared" ca="1" si="118"/>
        <v>74.869888475836433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IFERROR(__xludf.DUMMYFUNCTION("IMPORTRANGE(""https://docs.google.com/spreadsheets/d/1MeEWN-I1oV_STSDYn1IFDPWt_1FKiwhDph83XaGc0o0/edit?usp=sharing"",""งบพรบ!CY69"")"),26900)</f>
        <v>26900</v>
      </c>
      <c r="M266" s="45">
        <f ca="1">IFERROR(__xludf.DUMMYFUNCTION("IMPORTRANGE(""https://docs.google.com/spreadsheets/d/1MeEWN-I1oV_STSDYn1IFDPWt_1FKiwhDph83XaGc0o0/edit?usp=sharing"",""งบพรบ!DD69"")"),26900)</f>
        <v>26900</v>
      </c>
      <c r="N266" s="45">
        <f ca="1">IFERROR(__xludf.DUMMYFUNCTION("IMPORTRANGE(""https://docs.google.com/spreadsheets/d/1MeEWN-I1oV_STSDYn1IFDPWt_1FKiwhDph83XaGc0o0/edit?usp=sharing"",""งบพรบ!DF69"")"),20140)</f>
        <v>20140</v>
      </c>
      <c r="O266" s="45">
        <f t="shared" ca="1" si="117"/>
        <v>74.869888475836433</v>
      </c>
      <c r="P266" s="45">
        <f t="shared" ca="1" si="118"/>
        <v>74.869888475836433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IFERROR(__xludf.DUMMYFUNCTION("IMPORTRANGE(""https://docs.google.com/spreadsheets/d/1MeEWN-I1oV_STSDYn1IFDPWt_1FKiwhDph83XaGc0o0/edit?usp=sharing"",""งบพรบ!DB69"")"),0)</f>
        <v>0</v>
      </c>
      <c r="M269" s="45">
        <f ca="1">IFERROR(__xludf.DUMMYFUNCTION("IMPORTRANGE(""https://docs.google.com/spreadsheets/d/1MeEWN-I1oV_STSDYn1IFDPWt_1FKiwhDph83XaGc0o0/edit?usp=sharing"",""งบพรบ!DE69"")"),0)</f>
        <v>0</v>
      </c>
      <c r="N269" s="45">
        <f ca="1">IFERROR(__xludf.DUMMYFUNCTION("IMPORTRANGE(""https://docs.google.com/spreadsheets/d/1MeEWN-I1oV_STSDYn1IFDPWt_1FKiwhDph83XaGc0o0/edit?usp=sharing"",""งบพรบ!DG69"")"),0)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IFERROR(__xludf.DUMMYFUNCTION("IMPORTRANGE(""https://docs.google.com/spreadsheets/d/1QqKyyYR6Q21VydFLVH3TRQUabQu_ym0Zz7PgGX0-kHA/edit?usp=sharing"",""แผน!EA69"")"),22)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30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300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111710</v>
      </c>
      <c r="M277" s="154">
        <f t="shared" ca="1" si="125"/>
        <v>111710</v>
      </c>
      <c r="N277" s="154">
        <f t="shared" ca="1" si="125"/>
        <v>49700</v>
      </c>
      <c r="O277" s="154">
        <f t="shared" ref="O277:O285" ca="1" si="126">IF(L277&gt;0,N277*100/L277,0)</f>
        <v>44.490197833676483</v>
      </c>
      <c r="P277" s="154">
        <f t="shared" ref="P277:P285" ca="1" si="127">IF(M277&gt;0,N277*100/M277,0)</f>
        <v>44.490197833676483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111710</v>
      </c>
      <c r="M279" s="45">
        <f t="shared" ca="1" si="128"/>
        <v>111710</v>
      </c>
      <c r="N279" s="45">
        <f t="shared" ca="1" si="128"/>
        <v>49700</v>
      </c>
      <c r="O279" s="45">
        <f t="shared" ca="1" si="126"/>
        <v>44.490197833676483</v>
      </c>
      <c r="P279" s="45">
        <f t="shared" ca="1" si="127"/>
        <v>44.490197833676483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111710</v>
      </c>
      <c r="M280" s="38">
        <f t="shared" ca="1" si="129"/>
        <v>111710</v>
      </c>
      <c r="N280" s="38">
        <f t="shared" ca="1" si="129"/>
        <v>49700</v>
      </c>
      <c r="O280" s="38">
        <f t="shared" ca="1" si="126"/>
        <v>44.490197833676483</v>
      </c>
      <c r="P280" s="38">
        <f t="shared" ca="1" si="127"/>
        <v>44.490197833676483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IFERROR(__xludf.DUMMYFUNCTION("IMPORTRANGE(""https://docs.google.com/spreadsheets/d/1MeEWN-I1oV_STSDYn1IFDPWt_1FKiwhDph83XaGc0o0/edit?usp=sharing"",""งบพรบ!DI69"")"),111710)</f>
        <v>111710</v>
      </c>
      <c r="M282" s="45">
        <f ca="1">IFERROR(__xludf.DUMMYFUNCTION("IMPORTRANGE(""https://docs.google.com/spreadsheets/d/1MeEWN-I1oV_STSDYn1IFDPWt_1FKiwhDph83XaGc0o0/edit?usp=sharing"",""งบพรบ!DN69"")"),111710)</f>
        <v>111710</v>
      </c>
      <c r="N282" s="45">
        <f ca="1">IFERROR(__xludf.DUMMYFUNCTION("IMPORTRANGE(""https://docs.google.com/spreadsheets/d/1MeEWN-I1oV_STSDYn1IFDPWt_1FKiwhDph83XaGc0o0/edit?usp=sharing"",""งบพรบ!DP69"")"),49700)</f>
        <v>49700</v>
      </c>
      <c r="O282" s="45">
        <f t="shared" ca="1" si="126"/>
        <v>44.490197833676483</v>
      </c>
      <c r="P282" s="45">
        <f t="shared" ca="1" si="127"/>
        <v>44.490197833676483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IFERROR(__xludf.DUMMYFUNCTION("IMPORTRANGE(""https://docs.google.com/spreadsheets/d/1MeEWN-I1oV_STSDYn1IFDPWt_1FKiwhDph83XaGc0o0/edit?usp=sharing"",""งบพรบ!DL69"")"),0)</f>
        <v>0</v>
      </c>
      <c r="M285" s="45">
        <f ca="1">IFERROR(__xludf.DUMMYFUNCTION("IMPORTRANGE(""https://docs.google.com/spreadsheets/d/1MeEWN-I1oV_STSDYn1IFDPWt_1FKiwhDph83XaGc0o0/edit?usp=sharing"",""งบพรบ!DO69"")"),0)</f>
        <v>0</v>
      </c>
      <c r="N285" s="45">
        <f ca="1">IFERROR(__xludf.DUMMYFUNCTION("IMPORTRANGE(""https://docs.google.com/spreadsheets/d/1MeEWN-I1oV_STSDYn1IFDPWt_1FKiwhDph83XaGc0o0/edit?usp=sharing"",""งบพรบ!DQ69"")"),0)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IFERROR(__xludf.DUMMYFUNCTION("IMPORTRANGE(""https://docs.google.com/spreadsheets/d/1QqKyyYR6Q21VydFLVH3TRQUabQu_ym0Zz7PgGX0-kHA/edit?usp=sharing"",""แผน!EC69"")"),300)</f>
        <v>300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IFERROR(__xludf.DUMMYFUNCTION("IMPORTRANGE(""https://docs.google.com/spreadsheets/d/1QqKyyYR6Q21VydFLVH3TRQUabQu_ym0Zz7PgGX0-kHA/edit?usp=sharing"",""แผน!EB69"")"),30)</f>
        <v>30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IFERROR(__xludf.DUMMYFUNCTION("IMPORTRANGE(""https://docs.google.com/spreadsheets/d/1QqKyyYR6Q21VydFLVH3TRQUabQu_ym0Zz7PgGX0-kHA/edit?usp=sharing"",""แผน!EB69"")"),30)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IFERROR(__xludf.DUMMYFUNCTION("IMPORTRANGE(""https://docs.google.com/spreadsheets/d/1QqKyyYR6Q21VydFLVH3TRQUabQu_ym0Zz7PgGX0-kHA/edit?usp=sharing"",""แผน!EB69"")"),30)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IFERROR(__xludf.DUMMYFUNCTION("IMPORTRANGE(""https://docs.google.com/spreadsheets/d/1QqKyyYR6Q21VydFLVH3TRQUabQu_ym0Zz7PgGX0-kHA/edit?usp=sharing"",""แผน!EB69"")"),30)</f>
        <v>30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IFERROR(__xludf.DUMMYFUNCTION("IMPORTRANGE(""https://docs.google.com/spreadsheets/d/1QqKyyYR6Q21VydFLVH3TRQUabQu_ym0Zz7PgGX0-kHA/edit?usp=sharing"",""แผน!EB69"")"),30)</f>
        <v>30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IFERROR(__xludf.DUMMYFUNCTION("IMPORTRANGE(""https://docs.google.com/spreadsheets/d/1MeEWN-I1oV_STSDYn1IFDPWt_1FKiwhDph83XaGc0o0/edit?usp=sharing"",""งบพรบ!DS69"")"),0)</f>
        <v>0</v>
      </c>
      <c r="M303" s="45">
        <f ca="1">IFERROR(__xludf.DUMMYFUNCTION("IMPORTRANGE(""https://docs.google.com/spreadsheets/d/1MeEWN-I1oV_STSDYn1IFDPWt_1FKiwhDph83XaGc0o0/edit?usp=sharing"",""งบพรบ!DX69"")"),0)</f>
        <v>0</v>
      </c>
      <c r="N303" s="45">
        <f ca="1">IFERROR(__xludf.DUMMYFUNCTION("IMPORTRANGE(""https://docs.google.com/spreadsheets/d/1MeEWN-I1oV_STSDYn1IFDPWt_1FKiwhDph83XaGc0o0/edit?usp=sharing"",""งบพรบ!DZ69"")"),0)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IFERROR(__xludf.DUMMYFUNCTION("IMPORTRANGE(""https://docs.google.com/spreadsheets/d/1MeEWN-I1oV_STSDYn1IFDPWt_1FKiwhDph83XaGc0o0/edit?usp=sharing"",""งบพรบ!DV69"")"),0)</f>
        <v>0</v>
      </c>
      <c r="M306" s="45">
        <f ca="1">IFERROR(__xludf.DUMMYFUNCTION("IMPORTRANGE(""https://docs.google.com/spreadsheets/d/1MeEWN-I1oV_STSDYn1IFDPWt_1FKiwhDph83XaGc0o0/edit?usp=sharing"",""งบพรบ!DY69"")"),0)</f>
        <v>0</v>
      </c>
      <c r="N306" s="45">
        <f ca="1">IFERROR(__xludf.DUMMYFUNCTION("IMPORTRANGE(""https://docs.google.com/spreadsheets/d/1MeEWN-I1oV_STSDYn1IFDPWt_1FKiwhDph83XaGc0o0/edit?usp=sharing"",""งบพรบ!EA69"")"),0)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IFERROR(__xludf.DUMMYFUNCTION("IMPORTRANGE(""https://docs.google.com/spreadsheets/d/1QqKyyYR6Q21VydFLVH3TRQUabQu_ym0Zz7PgGX0-kHA/edit?usp=sharing"",""แผน!ED69"")"),0)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IFERROR(__xludf.DUMMYFUNCTION("IMPORTRANGE(""https://docs.google.com/spreadsheets/d/1QqKyyYR6Q21VydFLVH3TRQUabQu_ym0Zz7PgGX0-kHA/edit?usp=sharing"",""แผน!ED69"")"),0)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IFERROR(__xludf.DUMMYFUNCTION("IMPORTRANGE(""https://docs.google.com/spreadsheets/d/1QqKyyYR6Q21VydFLVH3TRQUabQu_ym0Zz7PgGX0-kHA/edit?usp=sharing"",""แผน!ED69"")"),0)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IFERROR(__xludf.DUMMYFUNCTION("IMPORTRANGE(""https://docs.google.com/spreadsheets/d/1QqKyyYR6Q21VydFLVH3TRQUabQu_ym0Zz7PgGX0-kHA/edit?usp=sharing"",""แผน!EE69"")"),0)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2</v>
      </c>
      <c r="J314" s="421">
        <f t="shared" si="142"/>
        <v>2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153000</v>
      </c>
      <c r="M315" s="154">
        <f t="shared" ca="1" si="143"/>
        <v>153000</v>
      </c>
      <c r="N315" s="154">
        <f t="shared" ca="1" si="143"/>
        <v>125653.44</v>
      </c>
      <c r="O315" s="154">
        <f t="shared" ref="O315:O323" ca="1" si="144">IF(L315&gt;0,N315*100/L315,0)</f>
        <v>82.126431372549021</v>
      </c>
      <c r="P315" s="154">
        <f t="shared" ref="P315:P323" ca="1" si="145">IF(M315&gt;0,N315*100/M315,0)</f>
        <v>82.126431372549021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153000</v>
      </c>
      <c r="M317" s="45">
        <f t="shared" ca="1" si="146"/>
        <v>153000</v>
      </c>
      <c r="N317" s="45">
        <f t="shared" ca="1" si="146"/>
        <v>125653.44</v>
      </c>
      <c r="O317" s="45">
        <f t="shared" ca="1" si="144"/>
        <v>82.126431372549021</v>
      </c>
      <c r="P317" s="45">
        <f t="shared" ca="1" si="145"/>
        <v>82.126431372549021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153000</v>
      </c>
      <c r="N318" s="38">
        <f t="shared" ca="1" si="147"/>
        <v>125653.44</v>
      </c>
      <c r="O318" s="38">
        <f t="shared" ca="1" si="144"/>
        <v>82.126431372549021</v>
      </c>
      <c r="P318" s="38">
        <f t="shared" ca="1" si="145"/>
        <v>82.126431372549021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IFERROR(__xludf.DUMMYFUNCTION("IMPORTRANGE(""https://docs.google.com/spreadsheets/d/1MeEWN-I1oV_STSDYn1IFDPWt_1FKiwhDph83XaGc0o0/edit?usp=sharing"",""งบพรบ!EC69"")"),153000)</f>
        <v>153000</v>
      </c>
      <c r="M320" s="45">
        <f ca="1">IFERROR(__xludf.DUMMYFUNCTION("IMPORTRANGE(""https://docs.google.com/spreadsheets/d/1MeEWN-I1oV_STSDYn1IFDPWt_1FKiwhDph83XaGc0o0/edit?usp=sharing"",""งบพรบ!EH69"")"),153000)</f>
        <v>153000</v>
      </c>
      <c r="N320" s="45">
        <f ca="1">IFERROR(__xludf.DUMMYFUNCTION("IMPORTRANGE(""https://docs.google.com/spreadsheets/d/1MeEWN-I1oV_STSDYn1IFDPWt_1FKiwhDph83XaGc0o0/edit?usp=sharing"",""งบพรบ!EJ69"")"),125653.44)</f>
        <v>125653.44</v>
      </c>
      <c r="O320" s="45">
        <f t="shared" ca="1" si="144"/>
        <v>82.126431372549021</v>
      </c>
      <c r="P320" s="45">
        <f t="shared" ca="1" si="145"/>
        <v>82.126431372549021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IFERROR(__xludf.DUMMYFUNCTION("IMPORTRANGE(""https://docs.google.com/spreadsheets/d/1MeEWN-I1oV_STSDYn1IFDPWt_1FKiwhDph83XaGc0o0/edit?usp=sharing"",""งบพรบ!EF69"")"),0)</f>
        <v>0</v>
      </c>
      <c r="M323" s="45">
        <f ca="1">IFERROR(__xludf.DUMMYFUNCTION("IMPORTRANGE(""https://docs.google.com/spreadsheets/d/1MeEWN-I1oV_STSDYn1IFDPWt_1FKiwhDph83XaGc0o0/edit?usp=sharing"",""งบพรบ!EI69"")"),0)</f>
        <v>0</v>
      </c>
      <c r="N323" s="45">
        <f ca="1">IFERROR(__xludf.DUMMYFUNCTION("IMPORTRANGE(""https://docs.google.com/spreadsheets/d/1MeEWN-I1oV_STSDYn1IFDPWt_1FKiwhDph83XaGc0o0/edit?usp=sharing"",""งบพรบ!EK69"")"),0)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IFERROR(__xludf.DUMMYFUNCTION("IMPORTRANGE(""https://docs.google.com/spreadsheets/d/1QqKyyYR6Q21VydFLVH3TRQUabQu_ym0Zz7PgGX0-kHA/edit?usp=sharing"",""แผน!EF69"")"),2)</f>
        <v>2</v>
      </c>
      <c r="J325" s="181">
        <v>2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IFERROR(__xludf.DUMMYFUNCTION("IMPORTRANGE(""https://docs.google.com/spreadsheets/d/1QqKyyYR6Q21VydFLVH3TRQUabQu_ym0Zz7PgGX0-kHA/edit?usp=sharing"",""แผน!EG69"")"),5300)</f>
        <v>5300</v>
      </c>
      <c r="J327" s="421">
        <f ca="1">J338+J341+J342+J343</f>
        <v>8061</v>
      </c>
      <c r="K327" s="422">
        <f ca="1">IF(I327&gt;0,J327*100/I327,0)</f>
        <v>152.09433962264151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182000</v>
      </c>
      <c r="M328" s="154">
        <f t="shared" ca="1" si="149"/>
        <v>184500</v>
      </c>
      <c r="N328" s="154">
        <f t="shared" ca="1" si="149"/>
        <v>145192.59</v>
      </c>
      <c r="O328" s="154">
        <f t="shared" ref="O328:O336" ca="1" si="150">IF(L328&gt;0,N328*100/L328,0)</f>
        <v>79.776148351648345</v>
      </c>
      <c r="P328" s="154">
        <f t="shared" ref="P328:P336" ca="1" si="151">IF(M328&gt;0,N328*100/M328,0)</f>
        <v>78.695170731707321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182000</v>
      </c>
      <c r="M330" s="45">
        <f t="shared" ca="1" si="152"/>
        <v>184500</v>
      </c>
      <c r="N330" s="45">
        <f t="shared" ca="1" si="152"/>
        <v>145192.59</v>
      </c>
      <c r="O330" s="45">
        <f t="shared" ca="1" si="150"/>
        <v>79.776148351648345</v>
      </c>
      <c r="P330" s="45">
        <f t="shared" ca="1" si="151"/>
        <v>78.695170731707321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182000</v>
      </c>
      <c r="M331" s="38">
        <f t="shared" ca="1" si="153"/>
        <v>184500</v>
      </c>
      <c r="N331" s="38">
        <f t="shared" ca="1" si="153"/>
        <v>145192.59</v>
      </c>
      <c r="O331" s="38">
        <f t="shared" ca="1" si="150"/>
        <v>79.776148351648345</v>
      </c>
      <c r="P331" s="38">
        <f t="shared" ca="1" si="151"/>
        <v>78.695170731707321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IFERROR(__xludf.DUMMYFUNCTION("IMPORTRANGE(""https://docs.google.com/spreadsheets/d/1MeEWN-I1oV_STSDYn1IFDPWt_1FKiwhDph83XaGc0o0/edit?usp=sharing"",""งบพรบ!EM69"")"),182000)</f>
        <v>182000</v>
      </c>
      <c r="M333" s="45">
        <f ca="1">IFERROR(__xludf.DUMMYFUNCTION("IMPORTRANGE(""https://docs.google.com/spreadsheets/d/1MeEWN-I1oV_STSDYn1IFDPWt_1FKiwhDph83XaGc0o0/edit?usp=sharing"",""งบพรบ!ER69"")"),184500)</f>
        <v>184500</v>
      </c>
      <c r="N333" s="45">
        <f ca="1">IFERROR(__xludf.DUMMYFUNCTION("IMPORTRANGE(""https://docs.google.com/spreadsheets/d/1MeEWN-I1oV_STSDYn1IFDPWt_1FKiwhDph83XaGc0o0/edit?usp=sharing"",""งบพรบ!ET69"")"),145192.59)</f>
        <v>145192.59</v>
      </c>
      <c r="O333" s="45">
        <f t="shared" ca="1" si="150"/>
        <v>79.776148351648345</v>
      </c>
      <c r="P333" s="45">
        <f t="shared" ca="1" si="151"/>
        <v>78.695170731707321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IFERROR(__xludf.DUMMYFUNCTION("IMPORTRANGE(""https://docs.google.com/spreadsheets/d/1MeEWN-I1oV_STSDYn1IFDPWt_1FKiwhDph83XaGc0o0/edit?usp=sharing"",""งบพรบ!EP69"")"),0)</f>
        <v>0</v>
      </c>
      <c r="M336" s="45">
        <f ca="1">IFERROR(__xludf.DUMMYFUNCTION("IMPORTRANGE(""https://docs.google.com/spreadsheets/d/1MeEWN-I1oV_STSDYn1IFDPWt_1FKiwhDph83XaGc0o0/edit?usp=sharing"",""งบพรบ!ES69"")"),0)</f>
        <v>0</v>
      </c>
      <c r="N336" s="45">
        <f ca="1">IFERROR(__xludf.DUMMYFUNCTION("IMPORTRANGE(""https://docs.google.com/spreadsheets/d/1MeEWN-I1oV_STSDYn1IFDPWt_1FKiwhDph83XaGc0o0/edit?usp=sharing"",""งบพรบ!EU69"")"),0)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IFERROR(__xludf.DUMMYFUNCTION("IMPORTRANGE(""https://docs.google.com/spreadsheets/d/1QqKyyYR6Q21VydFLVH3TRQUabQu_ym0Zz7PgGX0-kHA/edit?usp=sharing"",""แผน!EG69"")"),5300)</f>
        <v>5300</v>
      </c>
      <c r="J338" s="37">
        <f ca="1">IFERROR(__xludf.DUMMYFUNCTION("IMPORTRANGE(""https://docs.google.com/spreadsheets/d/1kVcqe37tkHyjCSG3S0O1AXqVkqjo8mSIZil3BcpIysc/edit?usp=sharing"",""ศูนย์!D69"")"),7983)</f>
        <v>7983</v>
      </c>
      <c r="K338" s="38">
        <f ca="1">IF(I338&gt;0,J338*100/I338,0)</f>
        <v>150.62264150943398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IFERROR(__xludf.DUMMYFUNCTION("IMPORTRANGE(""https://docs.google.com/spreadsheets/d/1QqKyyYR6Q21VydFLVH3TRQUabQu_ym0Zz7PgGX0-kHA/edit?usp=sharing"",""แผน!EH69"")"),7)</f>
        <v>7</v>
      </c>
      <c r="J340" s="37">
        <f ca="1">IFERROR(__xludf.DUMMYFUNCTION("IMPORTRANGE(""https://docs.google.com/spreadsheets/d/1kVcqe37tkHyjCSG3S0O1AXqVkqjo8mSIZil3BcpIysc/edit?usp=sharing"",""ศูนย์!E69"")"),8)</f>
        <v>8</v>
      </c>
      <c r="K340" s="38">
        <f ca="1">IF(I340&gt;0,J340*100/I340,0)</f>
        <v>114.28571428571429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IFERROR(__xludf.DUMMYFUNCTION("IMPORTRANGE(""https://docs.google.com/spreadsheets/d/1kVcqe37tkHyjCSG3S0O1AXqVkqjo8mSIZil3BcpIysc/edit?usp=sharing"",""ศูนย์!F69"")"),78)</f>
        <v>78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IFERROR(__xludf.DUMMYFUNCTION("IMPORTRANGE(""https://docs.google.com/spreadsheets/d/1kVcqe37tkHyjCSG3S0O1AXqVkqjo8mSIZil3BcpIysc/edit?usp=sharing"",""ศูนย์!G69"")"),0)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IFERROR(__xludf.DUMMYFUNCTION("IMPORTRANGE(""https://docs.google.com/spreadsheets/d/1kVcqe37tkHyjCSG3S0O1AXqVkqjo8mSIZil3BcpIysc/edit?usp=sharing"",""ศูนย์!H69"")"),0)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1533320</v>
      </c>
      <c r="M345" s="154">
        <f t="shared" ca="1" si="155"/>
        <v>1470420</v>
      </c>
      <c r="N345" s="154">
        <f t="shared" ca="1" si="155"/>
        <v>1161944.47</v>
      </c>
      <c r="O345" s="154">
        <f t="shared" ref="O345:O353" ca="1" si="156">IF(L345&gt;0,N345*100/L345,0)</f>
        <v>75.779646127357623</v>
      </c>
      <c r="P345" s="154">
        <f t="shared" ref="P345:P353" ca="1" si="157">IF(M345&gt;0,N345*100/M345,0)</f>
        <v>79.021263992600751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1533320</v>
      </c>
      <c r="M347" s="45">
        <f t="shared" ca="1" si="158"/>
        <v>1470420</v>
      </c>
      <c r="N347" s="45">
        <f t="shared" ca="1" si="158"/>
        <v>1161944.47</v>
      </c>
      <c r="O347" s="45">
        <f t="shared" ca="1" si="156"/>
        <v>75.779646127357623</v>
      </c>
      <c r="P347" s="45">
        <f t="shared" ca="1" si="157"/>
        <v>79.021263992600751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1435520</v>
      </c>
      <c r="M348" s="38">
        <f t="shared" ca="1" si="159"/>
        <v>1372620</v>
      </c>
      <c r="N348" s="38">
        <f t="shared" ca="1" si="159"/>
        <v>1064144.47</v>
      </c>
      <c r="O348" s="38">
        <f t="shared" ca="1" si="156"/>
        <v>74.129546784440478</v>
      </c>
      <c r="P348" s="38">
        <f t="shared" ca="1" si="157"/>
        <v>77.526516443006798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IFERROR(__xludf.DUMMYFUNCTION("IMPORTRANGE(""https://docs.google.com/spreadsheets/d/1MeEWN-I1oV_STSDYn1IFDPWt_1FKiwhDph83XaGc0o0/edit?usp=sharing"",""งบพรบ!EW69"")"),1435520)</f>
        <v>1435520</v>
      </c>
      <c r="M350" s="45">
        <f ca="1">IFERROR(__xludf.DUMMYFUNCTION("IMPORTRANGE(""https://docs.google.com/spreadsheets/d/1MeEWN-I1oV_STSDYn1IFDPWt_1FKiwhDph83XaGc0o0/edit?usp=sharing"",""งบพรบ!FB69"")"),1372620)</f>
        <v>1372620</v>
      </c>
      <c r="N350" s="45">
        <f ca="1">IFERROR(__xludf.DUMMYFUNCTION("IMPORTRANGE(""https://docs.google.com/spreadsheets/d/1MeEWN-I1oV_STSDYn1IFDPWt_1FKiwhDph83XaGc0o0/edit?usp=sharing"",""งบพรบ!FD69"")"),1064144.47)</f>
        <v>1064144.47</v>
      </c>
      <c r="O350" s="45">
        <f t="shared" ca="1" si="156"/>
        <v>74.129546784440478</v>
      </c>
      <c r="P350" s="45">
        <f t="shared" ca="1" si="157"/>
        <v>77.526516443006798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97800</v>
      </c>
      <c r="M351" s="38">
        <f t="shared" ca="1" si="160"/>
        <v>97800</v>
      </c>
      <c r="N351" s="38">
        <f t="shared" ca="1" si="160"/>
        <v>97800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IFERROR(__xludf.DUMMYFUNCTION("IMPORTRANGE(""https://docs.google.com/spreadsheets/d/1MeEWN-I1oV_STSDYn1IFDPWt_1FKiwhDph83XaGc0o0/edit?usp=sharing"",""งบพรบ!EZ69"")"),97800)</f>
        <v>97800</v>
      </c>
      <c r="M353" s="45">
        <f ca="1">IFERROR(__xludf.DUMMYFUNCTION("IMPORTRANGE(""https://docs.google.com/spreadsheets/d/1MeEWN-I1oV_STSDYn1IFDPWt_1FKiwhDph83XaGc0o0/edit?usp=sharing"",""งบพรบ!FC69"")"),97800)</f>
        <v>97800</v>
      </c>
      <c r="N353" s="45">
        <f ca="1">IFERROR(__xludf.DUMMYFUNCTION("IMPORTRANGE(""https://docs.google.com/spreadsheets/d/1MeEWN-I1oV_STSDYn1IFDPWt_1FKiwhDph83XaGc0o0/edit?usp=sharing"",""งบพรบ!FE69"")"),97800)</f>
        <v>97800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IFERROR(__xludf.DUMMYFUNCTION("IMPORTRANGE(""https://docs.google.com/spreadsheets/d/1QqKyyYR6Q21VydFLVH3TRQUabQu_ym0Zz7PgGX0-kHA/edit?usp=sharing"",""แผน!EP69"")"),438)</f>
        <v>438</v>
      </c>
      <c r="J355" s="438">
        <f ca="1">J362</f>
        <v>187</v>
      </c>
      <c r="K355" s="439">
        <f ca="1">IF(I355&gt;0,J355*100/I355,0)</f>
        <v>42.694063926940636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IFERROR(__xludf.DUMMYFUNCTION("IMPORTRANGE(""https://docs.google.com/spreadsheets/d/1XWAQStnk-4SwqDmLtmXYiTMKHgktTP8We1SCoS47DrQ/edit?usp=sharing"",""จัดที่ดิน!W69"")"),455)</f>
        <v>455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IFERROR(__xludf.DUMMYFUNCTION("IMPORTRANGE(""https://docs.google.com/spreadsheets/d/1QqKyyYR6Q21VydFLVH3TRQUabQu_ym0Zz7PgGX0-kHA/edit?usp=sharing"",""แผน!EO69"")"),6500)</f>
        <v>6500</v>
      </c>
      <c r="J359" s="37">
        <f ca="1">IFERROR(__xludf.DUMMYFUNCTION("IMPORTRANGE(""https://docs.google.com/spreadsheets/d/1XWAQStnk-4SwqDmLtmXYiTMKHgktTP8We1SCoS47DrQ/edit?usp=sharing"",""จัดที่ดิน!X69"")"),6933.09)</f>
        <v>6933.09</v>
      </c>
      <c r="K359" s="38">
        <f t="shared" ca="1" si="161"/>
        <v>106.66292307692308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IFERROR(__xludf.DUMMYFUNCTION("IMPORTRANGE(""https://docs.google.com/spreadsheets/d/1QqKyyYR6Q21VydFLVH3TRQUabQu_ym0Zz7PgGX0-kHA/edit?usp=sharing"",""แผน!EP69"")"),438)</f>
        <v>438</v>
      </c>
      <c r="J360" s="37">
        <f ca="1">IFERROR(__xludf.DUMMYFUNCTION("IMPORTRANGE(""https://docs.google.com/spreadsheets/d/1XWAQStnk-4SwqDmLtmXYiTMKHgktTP8We1SCoS47DrQ/edit?usp=sharing"",""จัดที่ดิน!Y69"")"),538)</f>
        <v>538</v>
      </c>
      <c r="K360" s="38">
        <f t="shared" ca="1" si="161"/>
        <v>122.8310502283105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IFERROR(__xludf.DUMMYFUNCTION("IMPORTRANGE(""https://docs.google.com/spreadsheets/d/1XWAQStnk-4SwqDmLtmXYiTMKHgktTP8We1SCoS47DrQ/edit?usp=sharing"",""จัดที่ดิน!Z69"")"),8093.75)</f>
        <v>8093.75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IFERROR(__xludf.DUMMYFUNCTION("IMPORTRANGE(""https://docs.google.com/spreadsheets/d/1QqKyyYR6Q21VydFLVH3TRQUabQu_ym0Zz7PgGX0-kHA/edit?usp=sharing"",""แผน!EP69"")"),438)</f>
        <v>438</v>
      </c>
      <c r="J362" s="37">
        <f ca="1">IFERROR(__xludf.DUMMYFUNCTION("IMPORTRANGE(""https://docs.google.com/spreadsheets/d/1XWAQStnk-4SwqDmLtmXYiTMKHgktTP8We1SCoS47DrQ/edit?usp=sharing"",""จัดที่ดิน!AA69"")"),187)</f>
        <v>187</v>
      </c>
      <c r="K362" s="38">
        <f t="shared" ca="1" si="161"/>
        <v>42.694063926940636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IFERROR(__xludf.DUMMYFUNCTION("IMPORTRANGE(""https://docs.google.com/spreadsheets/d/1XWAQStnk-4SwqDmLtmXYiTMKHgktTP8We1SCoS47DrQ/edit?usp=sharing"",""จัดที่ดิน!AB69"")"),3329.06)</f>
        <v>3329.06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638</v>
      </c>
      <c r="J364" s="452">
        <f t="shared" ca="1" si="162"/>
        <v>694</v>
      </c>
      <c r="K364" s="453">
        <f t="shared" ca="1" si="161"/>
        <v>108.77742946708464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IFERROR(__xludf.DUMMYFUNCTION("IMPORTRANGE(""https://docs.google.com/spreadsheets/d/1QqKyyYR6Q21VydFLVH3TRQUabQu_ym0Zz7PgGX0-kHA/edit?usp=sharing"",""แผน!EJ69"")"),170)</f>
        <v>170</v>
      </c>
      <c r="J365" s="462">
        <f ca="1">J372</f>
        <v>137</v>
      </c>
      <c r="K365" s="463">
        <f t="shared" ca="1" si="161"/>
        <v>80.588235294117652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IFERROR(__xludf.DUMMYFUNCTION("IMPORTRANGE(""https://docs.google.com/spreadsheets/d/1XWAQStnk-4SwqDmLtmXYiTMKHgktTP8We1SCoS47DrQ/edit?usp=sharing"",""จัดที่ดิน!E69"")"),92)</f>
        <v>92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IFERROR(__xludf.DUMMYFUNCTION("IMPORTRANGE(""https://docs.google.com/spreadsheets/d/1QqKyyYR6Q21VydFLVH3TRQUabQu_ym0Zz7PgGX0-kHA/edit?usp=sharing"",""แผน!EI69"")"),2300)</f>
        <v>2300</v>
      </c>
      <c r="J369" s="37">
        <f ca="1">IFERROR(__xludf.DUMMYFUNCTION("IMPORTRANGE(""https://docs.google.com/spreadsheets/d/1XWAQStnk-4SwqDmLtmXYiTMKHgktTP8We1SCoS47DrQ/edit?usp=sharing"",""จัดที่ดิน!F69"")"),2857.91)</f>
        <v>2857.91</v>
      </c>
      <c r="K369" s="38">
        <f t="shared" ca="1" si="163"/>
        <v>124.25695652173913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IFERROR(__xludf.DUMMYFUNCTION("IMPORTRANGE(""https://docs.google.com/spreadsheets/d/1QqKyyYR6Q21VydFLVH3TRQUabQu_ym0Zz7PgGX0-kHA/edit?usp=sharing"",""แผน!EJ69"")"),170)</f>
        <v>170</v>
      </c>
      <c r="J370" s="37">
        <f ca="1">IFERROR(__xludf.DUMMYFUNCTION("IMPORTRANGE(""https://docs.google.com/spreadsheets/d/1XWAQStnk-4SwqDmLtmXYiTMKHgktTP8We1SCoS47DrQ/edit?usp=sharing"",""จัดที่ดิน!G69"")"),174)</f>
        <v>174</v>
      </c>
      <c r="K370" s="38">
        <f t="shared" ca="1" si="163"/>
        <v>102.35294117647059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IFERROR(__xludf.DUMMYFUNCTION("IMPORTRANGE(""https://docs.google.com/spreadsheets/d/1XWAQStnk-4SwqDmLtmXYiTMKHgktTP8We1SCoS47DrQ/edit?usp=sharing"",""จัดที่ดิน!H69"")"),3990.24)</f>
        <v>3990.24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IFERROR(__xludf.DUMMYFUNCTION("IMPORTRANGE(""https://docs.google.com/spreadsheets/d/1QqKyyYR6Q21VydFLVH3TRQUabQu_ym0Zz7PgGX0-kHA/edit?usp=sharing"",""แผน!EJ69"")"),170)</f>
        <v>170</v>
      </c>
      <c r="J372" s="37">
        <f ca="1">IFERROR(__xludf.DUMMYFUNCTION("IMPORTRANGE(""https://docs.google.com/spreadsheets/d/1XWAQStnk-4SwqDmLtmXYiTMKHgktTP8We1SCoS47DrQ/edit?usp=sharing"",""จัดที่ดิน!I69"")"),137)</f>
        <v>137</v>
      </c>
      <c r="K372" s="38">
        <f t="shared" ca="1" si="163"/>
        <v>80.588235294117652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IFERROR(__xludf.DUMMYFUNCTION("IMPORTRANGE(""https://docs.google.com/spreadsheets/d/1XWAQStnk-4SwqDmLtmXYiTMKHgktTP8We1SCoS47DrQ/edit?usp=sharing"",""จัดที่ดิน!J69"")"),2790.4)</f>
        <v>2790.4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IFERROR(__xludf.DUMMYFUNCTION("IMPORTRANGE(""https://docs.google.com/spreadsheets/d/1QqKyyYR6Q21VydFLVH3TRQUabQu_ym0Zz7PgGX0-kHA/edit?usp=sharing"",""แผน!EU69"")"),468)</f>
        <v>468</v>
      </c>
      <c r="J374" s="462">
        <f ca="1">J381</f>
        <v>557</v>
      </c>
      <c r="K374" s="463">
        <f t="shared" ca="1" si="163"/>
        <v>119.01709401709402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IFERROR(__xludf.DUMMYFUNCTION("IMPORTRANGE(""https://docs.google.com/spreadsheets/d/1XWAQStnk-4SwqDmLtmXYiTMKHgktTP8We1SCoS47DrQ/edit?usp=sharing"",""จัดที่ดิน!AH69"")"),363)</f>
        <v>363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IFERROR(__xludf.DUMMYFUNCTION("IMPORTRANGE(""https://docs.google.com/spreadsheets/d/1QqKyyYR6Q21VydFLVH3TRQUabQu_ym0Zz7PgGX0-kHA/edit?usp=sharing"",""แผน!ET69"")"),4200)</f>
        <v>4200</v>
      </c>
      <c r="J378" s="37">
        <f ca="1">IFERROR(__xludf.DUMMYFUNCTION("IMPORTRANGE(""https://docs.google.com/spreadsheets/d/1XWAQStnk-4SwqDmLtmXYiTMKHgktTP8We1SCoS47DrQ/edit?usp=sharing"",""จัดที่ดิน!AI69"")"),4075.18)</f>
        <v>4075.18</v>
      </c>
      <c r="K378" s="38">
        <f t="shared" ca="1" si="164"/>
        <v>97.028095238095233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IFERROR(__xludf.DUMMYFUNCTION("IMPORTRANGE(""https://docs.google.com/spreadsheets/d/1QqKyyYR6Q21VydFLVH3TRQUabQu_ym0Zz7PgGX0-kHA/edit?usp=sharing"",""แผน!EU69"")"),468)</f>
        <v>468</v>
      </c>
      <c r="J379" s="37">
        <f ca="1">IFERROR(__xludf.DUMMYFUNCTION("IMPORTRANGE(""https://docs.google.com/spreadsheets/d/1XWAQStnk-4SwqDmLtmXYiTMKHgktTP8We1SCoS47DrQ/edit?usp=sharing"",""จัดที่ดิน!AJ69"")"),874)</f>
        <v>874</v>
      </c>
      <c r="K379" s="38">
        <f t="shared" ca="1" si="164"/>
        <v>186.75213675213675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IFERROR(__xludf.DUMMYFUNCTION("IMPORTRANGE(""https://docs.google.com/spreadsheets/d/1XWAQStnk-4SwqDmLtmXYiTMKHgktTP8We1SCoS47DrQ/edit?usp=sharing"",""จัดที่ดิน!AK69"")"),13169.15)</f>
        <v>13169.15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IFERROR(__xludf.DUMMYFUNCTION("IMPORTRANGE(""https://docs.google.com/spreadsheets/d/1QqKyyYR6Q21VydFLVH3TRQUabQu_ym0Zz7PgGX0-kHA/edit?usp=sharing"",""แผน!EU69"")"),468)</f>
        <v>468</v>
      </c>
      <c r="J381" s="37">
        <f ca="1">IFERROR(__xludf.DUMMYFUNCTION("IMPORTRANGE(""https://docs.google.com/spreadsheets/d/1XWAQStnk-4SwqDmLtmXYiTMKHgktTP8We1SCoS47DrQ/edit?usp=sharing"",""จัดที่ดิน!AL69"")"),557)</f>
        <v>557</v>
      </c>
      <c r="K381" s="38">
        <f t="shared" ca="1" si="164"/>
        <v>119.01709401709402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IFERROR(__xludf.DUMMYFUNCTION("IMPORTRANGE(""https://docs.google.com/spreadsheets/d/1XWAQStnk-4SwqDmLtmXYiTMKHgktTP8We1SCoS47DrQ/edit?usp=sharing"",""จัดที่ดิน!AM69"")"),9573.03999999999)</f>
        <v>9573.03999999999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357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IFERROR(__xludf.DUMMYFUNCTION("IMPORTRANGE(""https://docs.google.com/spreadsheets/d/1QqKyyYR6Q21VydFLVH3TRQUabQu_ym0Zz7PgGX0-kHA/edit?usp=sharing"",""แผน!EW69"")"),20)</f>
        <v>20</v>
      </c>
      <c r="J385" s="365">
        <f ca="1">IFERROR(__xludf.DUMMYFUNCTION("IMPORTRANGE(""https://docs.google.com/spreadsheets/d/1XWAQStnk-4SwqDmLtmXYiTMKHgktTP8We1SCoS47DrQ/edit?usp=sharing"",""จัดที่ดิน!AP69"")"),4)</f>
        <v>4</v>
      </c>
      <c r="K385" s="472">
        <f ca="1">IF(I385&gt;0,J385*100/I385,0)</f>
        <v>20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IFERROR(__xludf.DUMMYFUNCTION("IMPORTRANGE(""https://docs.google.com/spreadsheets/d/1MeEWN-I1oV_STSDYn1IFDPWt_1FKiwhDph83XaGc0o0/edit?usp=sharing"",""งบพรบ!FG69"")"),0)</f>
        <v>0</v>
      </c>
      <c r="M394" s="45">
        <f ca="1">IFERROR(__xludf.DUMMYFUNCTION("IMPORTRANGE(""https://docs.google.com/spreadsheets/d/1MeEWN-I1oV_STSDYn1IFDPWt_1FKiwhDph83XaGc0o0/edit?usp=sharing"",""งบพรบ!FL69"")"),0)</f>
        <v>0</v>
      </c>
      <c r="N394" s="45">
        <f ca="1">IFERROR(__xludf.DUMMYFUNCTION("IMPORTRANGE(""https://docs.google.com/spreadsheets/d/1MeEWN-I1oV_STSDYn1IFDPWt_1FKiwhDph83XaGc0o0/edit?usp=sharing"",""งบพรบ!FN69"")"),0)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IFERROR(__xludf.DUMMYFUNCTION("IMPORTRANGE(""https://docs.google.com/spreadsheets/d/1MeEWN-I1oV_STSDYn1IFDPWt_1FKiwhDph83XaGc0o0/edit?usp=sharing"",""งบพรบ!FJ69"")"),0)</f>
        <v>0</v>
      </c>
      <c r="M397" s="45">
        <f ca="1">IFERROR(__xludf.DUMMYFUNCTION("IMPORTRANGE(""https://docs.google.com/spreadsheets/d/1MeEWN-I1oV_STSDYn1IFDPWt_1FKiwhDph83XaGc0o0/edit?usp=sharing"",""งบพรบ!FM69"")"),0)</f>
        <v>0</v>
      </c>
      <c r="N397" s="45">
        <f ca="1">IFERROR(__xludf.DUMMYFUNCTION("IMPORTRANGE(""https://docs.google.com/spreadsheets/d/1MeEWN-I1oV_STSDYn1IFDPWt_1FKiwhDph83XaGc0o0/edit?usp=sharing"",""งบพรบ!FO69"")"),0)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IFERROR(__xludf.DUMMYFUNCTION("IMPORTRANGE(""https://docs.google.com/spreadsheets/d/1MeEWN-I1oV_STSDYn1IFDPWt_1FKiwhDph83XaGc0o0/edit?usp=sharing"",""งบพรบ!FQ69"")"),0)</f>
        <v>0</v>
      </c>
      <c r="M407" s="45">
        <f ca="1">IFERROR(__xludf.DUMMYFUNCTION("IMPORTRANGE(""https://docs.google.com/spreadsheets/d/1MeEWN-I1oV_STSDYn1IFDPWt_1FKiwhDph83XaGc0o0/edit?usp=sharing"",""งบพรบ!FV69"")"),0)</f>
        <v>0</v>
      </c>
      <c r="N407" s="45">
        <f ca="1">IFERROR(__xludf.DUMMYFUNCTION("IMPORTRANGE(""https://docs.google.com/spreadsheets/d/1MeEWN-I1oV_STSDYn1IFDPWt_1FKiwhDph83XaGc0o0/edit?usp=sharing"",""งบพรบ!FX69"")"),0)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IFERROR(__xludf.DUMMYFUNCTION("IMPORTRANGE(""https://docs.google.com/spreadsheets/d/1MeEWN-I1oV_STSDYn1IFDPWt_1FKiwhDph83XaGc0o0/edit?usp=sharing"",""งบพรบ!FT69"")"),0)</f>
        <v>0</v>
      </c>
      <c r="M410" s="45">
        <f ca="1">IFERROR(__xludf.DUMMYFUNCTION("IMPORTRANGE(""https://docs.google.com/spreadsheets/d/1MeEWN-I1oV_STSDYn1IFDPWt_1FKiwhDph83XaGc0o0/edit?usp=sharing"",""งบพรบ!FW69"")"),0)</f>
        <v>0</v>
      </c>
      <c r="N410" s="45">
        <f ca="1">IFERROR(__xludf.DUMMYFUNCTION("IMPORTRANGE(""https://docs.google.com/spreadsheets/d/1MeEWN-I1oV_STSDYn1IFDPWt_1FKiwhDph83XaGc0o0/edit?usp=sharing"",""งบพรบ!FY69"")"),0)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2240997</v>
      </c>
      <c r="M414" s="518">
        <f t="shared" ca="1" si="181"/>
        <v>2240997</v>
      </c>
      <c r="N414" s="518">
        <f t="shared" si="181"/>
        <v>1639542.29</v>
      </c>
      <c r="O414" s="518">
        <f ca="1">IF(L414&gt;0,N414*100/L414,0)</f>
        <v>73.161288926312707</v>
      </c>
      <c r="P414" s="518">
        <f ca="1">IF(M414&gt;0,N414*100/M414,0)</f>
        <v>73.161288926312707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76080</v>
      </c>
      <c r="O419" s="154">
        <f t="shared" ref="O419:O424" ca="1" si="185">IF(L419&gt;0,N419*100/L419,0)</f>
        <v>96.720061022120518</v>
      </c>
      <c r="P419" s="154">
        <f t="shared" ref="P419:P424" ca="1" si="186">IF(M419&gt;0,N419*100/M419,0)</f>
        <v>96.720061022120518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76080</v>
      </c>
      <c r="O421" s="45">
        <f t="shared" ca="1" si="185"/>
        <v>96.720061022120518</v>
      </c>
      <c r="P421" s="45">
        <f t="shared" ca="1" si="186"/>
        <v>96.720061022120518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76080</v>
      </c>
      <c r="O422" s="38">
        <f t="shared" ca="1" si="185"/>
        <v>96.720061022120518</v>
      </c>
      <c r="P422" s="38">
        <f t="shared" ca="1" si="186"/>
        <v>96.720061022120518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IFERROR(__xludf.DUMMYFUNCTION("IMPORTRANGE(""https://docs.google.com/spreadsheets/d/1QqKyyYR6Q21VydFLVH3TRQUabQu_ym0Zz7PgGX0-kHA/edit?usp=sharing"",""แผน!EY69"")"),78660)</f>
        <v>78660</v>
      </c>
      <c r="M424" s="45">
        <f ca="1">L424</f>
        <v>78660</v>
      </c>
      <c r="N424" s="45">
        <f>N425+N426+N427+N428</f>
        <v>76080</v>
      </c>
      <c r="O424" s="45">
        <f t="shared" ca="1" si="185"/>
        <v>96.720061022120518</v>
      </c>
      <c r="P424" s="45">
        <f t="shared" ca="1" si="186"/>
        <v>96.720061022120518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48400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27680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IFERROR(__xludf.DUMMYFUNCTION("IMPORTRANGE(""https://docs.google.com/spreadsheets/d/1QqKyyYR6Q21VydFLVH3TRQUabQu_ym0Zz7PgGX0-kHA/edit?usp=sharing"",""แผน!FC69"")"),20)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IFERROR(__xludf.DUMMYFUNCTION("IMPORTRANGE(""https://docs.google.com/spreadsheets/d/1QqKyyYR6Q21VydFLVH3TRQUabQu_ym0Zz7PgGX0-kHA/edit?usp=sharing"",""แผน!FD69"")"),0)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IFERROR(__xludf.DUMMYFUNCTION("IMPORTRANGE(""https://docs.google.com/spreadsheets/d/1QqKyyYR6Q21VydFLVH3TRQUabQu_ym0Zz7PgGX0-kHA/edit?usp=sharing"",""แผน!FE69"")"),0)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IFERROR(__xludf.DUMMYFUNCTION("IMPORTRANGE(""https://docs.google.com/spreadsheets/d/1QqKyyYR6Q21VydFLVH3TRQUabQu_ym0Zz7PgGX0-kHA/edit?usp=sharing"",""แผน!FF69"")"),20)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IFERROR(__xludf.DUMMYFUNCTION("IMPORTRANGE(""https://docs.google.com/spreadsheets/d/1QqKyyYR6Q21VydFLVH3TRQUabQu_ym0Zz7PgGX0-kHA/edit?usp=sharing"",""แผน!FJ69"")"),0)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IFERROR(__xludf.DUMMYFUNCTION("IMPORTRANGE(""https://docs.google.com/spreadsheets/d/1QqKyyYR6Q21VydFLVH3TRQUabQu_ym0Zz7PgGX0-kHA/edit?usp=sharing"",""แผน!FN69"")"),0)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IFERROR(__xludf.DUMMYFUNCTION("IMPORTRANGE(""https://docs.google.com/spreadsheets/d/1QqKyyYR6Q21VydFLVH3TRQUabQu_ym0Zz7PgGX0-kHA/edit?usp=sharing"",""แผน!FO69"")"),0)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IFERROR(__xludf.DUMMYFUNCTION("IMPORTRANGE(""https://docs.google.com/spreadsheets/d/1QqKyyYR6Q21VydFLVH3TRQUabQu_ym0Zz7PgGX0-kHA/edit?usp=sharing"",""แผน!FO69"")"),0)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IFERROR(__xludf.DUMMYFUNCTION("IMPORTRANGE(""https://docs.google.com/spreadsheets/d/1QqKyyYR6Q21VydFLVH3TRQUabQu_ym0Zz7PgGX0-kHA/edit?usp=sharing"",""แผน!FN69"")"),0)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IFERROR(__xludf.DUMMYFUNCTION("IMPORTRANGE(""https://docs.google.com/spreadsheets/d/1QqKyyYR6Q21VydFLVH3TRQUabQu_ym0Zz7PgGX0-kHA/edit?usp=sharing"",""แผน!FX69"")"),51)</f>
        <v>51</v>
      </c>
      <c r="J465" s="552">
        <f>J485+J489+J492</f>
        <v>51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IFERROR(__xludf.DUMMYFUNCTION("IMPORTRANGE(""https://docs.google.com/spreadsheets/d/1QqKyyYR6Q21VydFLVH3TRQUabQu_ym0Zz7PgGX0-kHA/edit?usp=sharing"",""แผน!FW69"")"),500)</f>
        <v>500</v>
      </c>
      <c r="J466" s="533">
        <f>J495+J498</f>
        <v>500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409553</v>
      </c>
      <c r="M467" s="191">
        <f t="shared" ca="1" si="206"/>
        <v>409553</v>
      </c>
      <c r="N467" s="191">
        <f t="shared" si="206"/>
        <v>406653</v>
      </c>
      <c r="O467" s="191">
        <f t="shared" ref="O467:O472" ca="1" si="207">IF(L467&gt;0,N467*100/L467,0)</f>
        <v>99.291910937045998</v>
      </c>
      <c r="P467" s="191">
        <f t="shared" ref="P467:P472" ca="1" si="208">IF(M467&gt;0,N467*100/M467,0)</f>
        <v>99.291910937045998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409553</v>
      </c>
      <c r="M469" s="45">
        <f t="shared" ca="1" si="209"/>
        <v>409553</v>
      </c>
      <c r="N469" s="45">
        <f t="shared" si="209"/>
        <v>406653</v>
      </c>
      <c r="O469" s="45">
        <f t="shared" ca="1" si="207"/>
        <v>99.291910937045998</v>
      </c>
      <c r="P469" s="45">
        <f t="shared" ca="1" si="208"/>
        <v>99.291910937045998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409553</v>
      </c>
      <c r="M470" s="38">
        <f t="shared" ca="1" si="210"/>
        <v>409553</v>
      </c>
      <c r="N470" s="38">
        <f t="shared" si="210"/>
        <v>406653</v>
      </c>
      <c r="O470" s="38">
        <f t="shared" ca="1" si="207"/>
        <v>99.291910937045998</v>
      </c>
      <c r="P470" s="38">
        <f t="shared" ca="1" si="208"/>
        <v>99.291910937045998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IFERROR(__xludf.DUMMYFUNCTION("IMPORTRANGE(""https://docs.google.com/spreadsheets/d/1QqKyyYR6Q21VydFLVH3TRQUabQu_ym0Zz7PgGX0-kHA/edit?usp=sharing"",""แผน!FS69"")"),409553)</f>
        <v>409553</v>
      </c>
      <c r="M472" s="45">
        <f ca="1">L472</f>
        <v>409553</v>
      </c>
      <c r="N472" s="45">
        <f>N473+N474+N475+N476</f>
        <v>406653</v>
      </c>
      <c r="O472" s="45">
        <f t="shared" ca="1" si="207"/>
        <v>99.291910937045998</v>
      </c>
      <c r="P472" s="45">
        <f t="shared" ca="1" si="208"/>
        <v>99.291910937045998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66023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314000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26630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IFERROR(__xludf.DUMMYFUNCTION("IMPORTRANGE(""https://docs.google.com/spreadsheets/d/1QqKyyYR6Q21VydFLVH3TRQUabQu_ym0Zz7PgGX0-kHA/edit?usp=sharing"",""แผน!FY69"")"),450)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IFERROR(__xludf.DUMMYFUNCTION("IMPORTRANGE(""https://docs.google.com/spreadsheets/d/1QqKyyYR6Q21VydFLVH3TRQUabQu_ym0Zz7PgGX0-kHA/edit?usp=sharing"",""แผน!FZ69"")"),45)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IFERROR(__xludf.DUMMYFUNCTION("IMPORTRANGE(""https://docs.google.com/spreadsheets/d/1QqKyyYR6Q21VydFLVH3TRQUabQu_ym0Zz7PgGX0-kHA/edit?usp=sharing"",""แผน!GA69"")"),50)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IFERROR(__xludf.DUMMYFUNCTION("IMPORTRANGE(""https://docs.google.com/spreadsheets/d/1QqKyyYR6Q21VydFLVH3TRQUabQu_ym0Zz7PgGX0-kHA/edit?usp=sharing"",""แผน!GB69"")"),5)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IFERROR(__xludf.DUMMYFUNCTION("IMPORTRANGE(""https://docs.google.com/spreadsheets/d/1QqKyyYR6Q21VydFLVH3TRQUabQu_ym0Zz7PgGX0-kHA/edit?usp=sharing"",""แผน!FY69"")"),450)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/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IFERROR(__xludf.DUMMYFUNCTION("IMPORTRANGE(""https://docs.google.com/spreadsheets/d/1QqKyyYR6Q21VydFLVH3TRQUabQu_ym0Zz7PgGX0-kHA/edit?usp=sharing"",""แผน!GA69"")"),50)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50</v>
      </c>
      <c r="J522" s="627">
        <f t="shared" ca="1" si="225"/>
        <v>50</v>
      </c>
      <c r="K522" s="628">
        <f ca="1">IF(I522&gt;0,J522*100/I522,0)</f>
        <v>100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427460</v>
      </c>
      <c r="M523" s="191">
        <f t="shared" ca="1" si="226"/>
        <v>427460</v>
      </c>
      <c r="N523" s="191">
        <f t="shared" si="226"/>
        <v>410980</v>
      </c>
      <c r="O523" s="191">
        <f t="shared" ref="O523:O528" ca="1" si="227">IF(L523&gt;0,N523*100/L523,0)</f>
        <v>96.144668506994805</v>
      </c>
      <c r="P523" s="191">
        <f t="shared" ref="P523:P528" ca="1" si="228">IF(M523&gt;0,N523*100/M523,0)</f>
        <v>96.144668506994805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427460</v>
      </c>
      <c r="M525" s="45">
        <f t="shared" ca="1" si="229"/>
        <v>427460</v>
      </c>
      <c r="N525" s="45">
        <f t="shared" si="229"/>
        <v>410980</v>
      </c>
      <c r="O525" s="45">
        <f t="shared" ca="1" si="227"/>
        <v>96.144668506994805</v>
      </c>
      <c r="P525" s="45">
        <f t="shared" ca="1" si="228"/>
        <v>96.144668506994805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427460</v>
      </c>
      <c r="M526" s="38">
        <f t="shared" ca="1" si="230"/>
        <v>427460</v>
      </c>
      <c r="N526" s="38">
        <f t="shared" si="230"/>
        <v>410980</v>
      </c>
      <c r="O526" s="38">
        <f t="shared" ca="1" si="227"/>
        <v>96.144668506994805</v>
      </c>
      <c r="P526" s="38">
        <f t="shared" ca="1" si="228"/>
        <v>96.144668506994805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IFERROR(__xludf.DUMMYFUNCTION("IMPORTRANGE(""https://docs.google.com/spreadsheets/d/1QqKyyYR6Q21VydFLVH3TRQUabQu_ym0Zz7PgGX0-kHA/edit?usp=sharing"",""แผน!GQ69"")"),427460)</f>
        <v>427460</v>
      </c>
      <c r="M528" s="45">
        <f ca="1">L528</f>
        <v>427460</v>
      </c>
      <c r="N528" s="45">
        <f>N529+N530+N531+N532</f>
        <v>410980</v>
      </c>
      <c r="O528" s="45">
        <f t="shared" ca="1" si="227"/>
        <v>96.144668506994805</v>
      </c>
      <c r="P528" s="45">
        <f t="shared" ca="1" si="228"/>
        <v>96.144668506994805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139970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250000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21010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IFERROR(__xludf.DUMMYFUNCTION("IMPORTRANGE(""https://docs.google.com/spreadsheets/d/1QqKyyYR6Q21VydFLVH3TRQUabQu_ym0Zz7PgGX0-kHA/edit?usp=sharing"",""แผน!GU69"")"),50)</f>
        <v>50</v>
      </c>
      <c r="J537" s="190">
        <f ca="1">IF(AND(J538=I538,J539=I539,J540=I540,J541=I541),I537,0)</f>
        <v>50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IFERROR(__xludf.DUMMYFUNCTION("IMPORTRANGE(""https://docs.google.com/spreadsheets/d/1QqKyyYR6Q21VydFLVH3TRQUabQu_ym0Zz7PgGX0-kHA/edit?usp=sharing"",""แผน!GV69"")"),50)</f>
        <v>50</v>
      </c>
      <c r="J538" s="181">
        <v>50</v>
      </c>
      <c r="K538" s="38">
        <f t="shared" ca="1" si="234"/>
        <v>100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IFERROR(__xludf.DUMMYFUNCTION("IMPORTRANGE(""https://docs.google.com/spreadsheets/d/1QqKyyYR6Q21VydFLVH3TRQUabQu_ym0Zz7PgGX0-kHA/edit?usp=sharing"",""แผน!GY69"")"),50)</f>
        <v>50</v>
      </c>
      <c r="J541" s="181">
        <v>50</v>
      </c>
      <c r="K541" s="38">
        <f t="shared" ca="1" si="234"/>
        <v>100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IFERROR(__xludf.DUMMYFUNCTION("IMPORTRANGE(""https://docs.google.com/spreadsheets/d/1QqKyyYR6Q21VydFLVH3TRQUabQu_ym0Zz7PgGX0-kHA/edit?usp=sharing"",""แผน!GZ69"")"),50)</f>
        <v>50</v>
      </c>
      <c r="J542" s="181">
        <v>50</v>
      </c>
      <c r="K542" s="38">
        <f t="shared" ca="1" si="234"/>
        <v>100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132197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612784</v>
      </c>
      <c r="M544" s="154">
        <f t="shared" ca="1" si="236"/>
        <v>612784</v>
      </c>
      <c r="N544" s="154">
        <f t="shared" si="236"/>
        <v>442460.71</v>
      </c>
      <c r="O544" s="154">
        <f t="shared" ref="O544:O549" ca="1" si="237">IF(L544&gt;0,N544*100/L544,0)</f>
        <v>72.205003720723781</v>
      </c>
      <c r="P544" s="154">
        <f t="shared" ref="P544:P549" ca="1" si="238">IF(M544&gt;0,N544*100/M544,0)</f>
        <v>72.205003720723781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612784</v>
      </c>
      <c r="M546" s="45">
        <f t="shared" ca="1" si="240"/>
        <v>612784</v>
      </c>
      <c r="N546" s="45">
        <f t="shared" si="240"/>
        <v>442460.71</v>
      </c>
      <c r="O546" s="45">
        <f t="shared" ca="1" si="237"/>
        <v>72.205003720723781</v>
      </c>
      <c r="P546" s="45">
        <f t="shared" ca="1" si="238"/>
        <v>72.205003720723781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612784</v>
      </c>
      <c r="M547" s="38">
        <f t="shared" ca="1" si="241"/>
        <v>612784</v>
      </c>
      <c r="N547" s="38">
        <f t="shared" si="241"/>
        <v>442460.71</v>
      </c>
      <c r="O547" s="38">
        <f t="shared" ca="1" si="237"/>
        <v>72.205003720723781</v>
      </c>
      <c r="P547" s="38">
        <f t="shared" ca="1" si="238"/>
        <v>72.205003720723781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IFERROR(__xludf.DUMMYFUNCTION("IMPORTRANGE(""https://docs.google.com/spreadsheets/d/1QqKyyYR6Q21VydFLVH3TRQUabQu_ym0Zz7PgGX0-kHA/edit?usp=sharing"",""แผน!HB69"")"),612784)</f>
        <v>612784</v>
      </c>
      <c r="M549" s="45">
        <f ca="1">L549</f>
        <v>612784</v>
      </c>
      <c r="N549" s="45">
        <f>N550+N551+N552+N553+N554</f>
        <v>442460.71</v>
      </c>
      <c r="O549" s="45">
        <f t="shared" ca="1" si="237"/>
        <v>72.205003720723781</v>
      </c>
      <c r="P549" s="45">
        <f t="shared" ca="1" si="238"/>
        <v>72.205003720723781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89700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352760.71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132197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IFERROR(__xludf.DUMMYFUNCTION("IMPORTRANGE(""https://docs.google.com/spreadsheets/d/1QqKyyYR6Q21VydFLVH3TRQUabQu_ym0Zz7PgGX0-kHA/edit?usp=sharing"",""แผน!HH69"")"),132197)</f>
        <v>132197</v>
      </c>
      <c r="J560" s="189">
        <f t="shared" ref="J560:J561" si="247">J562+J564+J566</f>
        <v>132197</v>
      </c>
      <c r="K560" s="390">
        <f t="shared" ca="1" si="246"/>
        <v>100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IFERROR(__xludf.DUMMYFUNCTION("IMPORTRANGE(""https://docs.google.com/spreadsheets/d/1QqKyyYR6Q21VydFLVH3TRQUabQu_ym0Zz7PgGX0-kHA/edit?usp=sharing"",""แผน!HG69"")"),11643)</f>
        <v>11643</v>
      </c>
      <c r="J561" s="189">
        <f t="shared" si="247"/>
        <v>11643</v>
      </c>
      <c r="K561" s="390">
        <f t="shared" ca="1" si="246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108485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10096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19271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1194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4441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353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IFERROR(__xludf.DUMMYFUNCTION("IMPORTRANGE(""https://docs.google.com/spreadsheets/d/1QqKyyYR6Q21VydFLVH3TRQUabQu_ym0Zz7PgGX0-kHA/edit?usp=sharing"",""แผน!HH69"")"),132197)</f>
        <v>132197</v>
      </c>
      <c r="J568" s="190">
        <f t="shared" ref="J568:J569" si="248">J570+J572+J574</f>
        <v>132197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IFERROR(__xludf.DUMMYFUNCTION("IMPORTRANGE(""https://docs.google.com/spreadsheets/d/1QqKyyYR6Q21VydFLVH3TRQUabQu_ym0Zz7PgGX0-kHA/edit?usp=sharing"",""แผน!HG69"")"),11643)</f>
        <v>11643</v>
      </c>
      <c r="J569" s="190">
        <f t="shared" si="248"/>
        <v>11643</v>
      </c>
      <c r="K569" s="390">
        <f t="shared" ca="1" si="249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121239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10647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5462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591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5496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405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IFERROR(__xludf.DUMMYFUNCTION("IMPORTRANGE(""https://docs.google.com/spreadsheets/d/1QqKyyYR6Q21VydFLVH3TRQUabQu_ym0Zz7PgGX0-kHA/edit?usp=sharing"",""แผน!HH69"")"),132197)</f>
        <v>132197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IFERROR(__xludf.DUMMYFUNCTION("IMPORTRANGE(""https://docs.google.com/spreadsheets/d/1QqKyyYR6Q21VydFLVH3TRQUabQu_ym0Zz7PgGX0-kHA/edit?usp=sharing"",""แผน!HG69"")"),11643)</f>
        <v>11643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6889.23</v>
      </c>
      <c r="J592" s="627">
        <f t="shared" si="253"/>
        <v>6697</v>
      </c>
      <c r="K592" s="628">
        <f t="shared" ref="K592:K594" ca="1" si="254">IF(I592&gt;0,J592*100/I592,0)</f>
        <v>97.209702680851137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IFERROR(__xludf.DUMMYFUNCTION("IMPORTRANGE(""https://docs.google.com/spreadsheets/d/1QqKyyYR6Q21VydFLVH3TRQUabQu_ym0Zz7PgGX0-kHA/edit?usp=sharing"",""แผน!HJ69"")"),6889.23)</f>
        <v>6889.23</v>
      </c>
      <c r="J593" s="189">
        <f t="shared" ref="J593:J594" si="255">J595+J603+J609</f>
        <v>6697</v>
      </c>
      <c r="K593" s="390">
        <f t="shared" ca="1" si="254"/>
        <v>97.209702680851137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IFERROR(__xludf.DUMMYFUNCTION("IMPORTRANGE(""https://docs.google.com/spreadsheets/d/1QqKyyYR6Q21VydFLVH3TRQUabQu_ym0Zz7PgGX0-kHA/edit?usp=sharing"",""แผน!HI69"")"),387)</f>
        <v>387</v>
      </c>
      <c r="J594" s="189">
        <f t="shared" si="255"/>
        <v>374</v>
      </c>
      <c r="K594" s="390">
        <f t="shared" ca="1" si="254"/>
        <v>96.640826873385009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6697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374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1344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127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5353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247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IFERROR(__xludf.DUMMYFUNCTION("IMPORTRANGE(""https://docs.google.com/spreadsheets/d/1QqKyyYR6Q21VydFLVH3TRQUabQu_ym0Zz7PgGX0-kHA/edit?usp=sharing"",""แผน!HL69"")"),267)</f>
        <v>267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IFERROR(__xludf.DUMMYFUNCTION("IMPORTRANGE(""https://docs.google.com/spreadsheets/d/1QqKyyYR6Q21VydFLVH3TRQUabQu_ym0Zz7PgGX0-kHA/edit?usp=sharing"",""แผน!HK69"")"),22)</f>
        <v>22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100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364940</v>
      </c>
      <c r="M629" s="191">
        <f t="shared" ca="1" si="263"/>
        <v>364940</v>
      </c>
      <c r="N629" s="191">
        <f t="shared" si="263"/>
        <v>162435.25</v>
      </c>
      <c r="O629" s="191">
        <f t="shared" ref="O629:O634" ca="1" si="264">IF(L629&gt;0,N629*100/L629,0)</f>
        <v>44.510124952046915</v>
      </c>
      <c r="P629" s="191">
        <f t="shared" ref="P629:P634" ca="1" si="265">IF(M629&gt;0,N629*100/M629,0)</f>
        <v>44.510124952046915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364940</v>
      </c>
      <c r="M631" s="45">
        <f t="shared" ca="1" si="266"/>
        <v>364940</v>
      </c>
      <c r="N631" s="45">
        <f t="shared" si="266"/>
        <v>162435.25</v>
      </c>
      <c r="O631" s="45">
        <f t="shared" ca="1" si="264"/>
        <v>44.510124952046915</v>
      </c>
      <c r="P631" s="45">
        <f t="shared" ca="1" si="265"/>
        <v>44.510124952046915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364940</v>
      </c>
      <c r="M632" s="38">
        <f t="shared" ca="1" si="267"/>
        <v>364940</v>
      </c>
      <c r="N632" s="38">
        <f t="shared" si="267"/>
        <v>162435.25</v>
      </c>
      <c r="O632" s="38">
        <f t="shared" ca="1" si="264"/>
        <v>44.510124952046915</v>
      </c>
      <c r="P632" s="38">
        <f t="shared" ca="1" si="265"/>
        <v>44.510124952046915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IFERROR(__xludf.DUMMYFUNCTION("IMPORTRANGE(""https://docs.google.com/spreadsheets/d/1QqKyyYR6Q21VydFLVH3TRQUabQu_ym0Zz7PgGX0-kHA/edit?usp=sharing"",""แผน!HN69"")"),364940)</f>
        <v>364940</v>
      </c>
      <c r="M634" s="45">
        <f ca="1">L634</f>
        <v>364940</v>
      </c>
      <c r="N634" s="45">
        <f>N635+N636+N637+N638</f>
        <v>162435.25</v>
      </c>
      <c r="O634" s="45">
        <f t="shared" ca="1" si="264"/>
        <v>44.510124952046915</v>
      </c>
      <c r="P634" s="45">
        <f t="shared" ca="1" si="265"/>
        <v>44.510124952046915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100589.25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61846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IFERROR(__xludf.DUMMYFUNCTION("IMPORTRANGE(""https://docs.google.com/spreadsheets/d/1QqKyyYR6Q21VydFLVH3TRQUabQu_ym0Zz7PgGX0-kHA/edit?usp=sharing"",""แผน!HR69"")"),0)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IFERROR(__xludf.DUMMYFUNCTION("IMPORTRANGE(""https://docs.google.com/spreadsheets/d/1QqKyyYR6Q21VydFLVH3TRQUabQu_ym0Zz7PgGX0-kHA/edit?usp=sharing"",""แผน!HR69"")"),0)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IFERROR(__xludf.DUMMYFUNCTION("IMPORTRANGE(""https://docs.google.com/spreadsheets/d/1XWAQStnk-4SwqDmLtmXYiTMKHgktTP8We1SCoS47DrQ/edit?usp=sharing"",""จัดที่ดิน!AS69"")"),73)</f>
        <v>73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IFERROR(__xludf.DUMMYFUNCTION("IMPORTRANGE(""https://docs.google.com/spreadsheets/d/1XWAQStnk-4SwqDmLtmXYiTMKHgktTP8We1SCoS47DrQ/edit?usp=sharing"",""จัดที่ดิน!AT69"")"),84.1)</f>
        <v>84.1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IFERROR(__xludf.DUMMYFUNCTION("IMPORTRANGE(""https://docs.google.com/spreadsheets/d/1QqKyyYR6Q21VydFLVH3TRQUabQu_ym0Zz7PgGX0-kHA/edit?usp=sharing"",""แผน!HS69"")"),100)</f>
        <v>100</v>
      </c>
      <c r="J647" s="37">
        <f ca="1">IFERROR(__xludf.DUMMYFUNCTION("IMPORTRANGE(""https://docs.google.com/spreadsheets/d/1XWAQStnk-4SwqDmLtmXYiTMKHgktTP8We1SCoS47DrQ/edit?usp=sharing"",""จัดที่ดิน!AU69"")"),71)</f>
        <v>71</v>
      </c>
      <c r="K647" s="162">
        <f t="shared" ca="1" si="271"/>
        <v>71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IFERROR(__xludf.DUMMYFUNCTION("IMPORTRANGE(""https://docs.google.com/spreadsheets/d/1XWAQStnk-4SwqDmLtmXYiTMKHgktTP8We1SCoS47DrQ/edit?usp=sharing"",""จัดที่ดิน!AV69"")"),84.1)</f>
        <v>84.1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IFERROR(__xludf.DUMMYFUNCTION("IMPORTRANGE(""https://docs.google.com/spreadsheets/d/1QqKyyYR6Q21VydFLVH3TRQUabQu_ym0Zz7PgGX0-kHA/edit?usp=sharing"",""แผน!HS69"")"),100)</f>
        <v>100</v>
      </c>
      <c r="J649" s="37">
        <f ca="1">IFERROR(__xludf.DUMMYFUNCTION("IMPORTRANGE(""https://docs.google.com/spreadsheets/d/1XWAQStnk-4SwqDmLtmXYiTMKHgktTP8We1SCoS47DrQ/edit?usp=sharing"",""จัดที่ดิน!AW69"")"),0)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IFERROR(__xludf.DUMMYFUNCTION("IMPORTRANGE(""https://docs.google.com/spreadsheets/d/1XWAQStnk-4SwqDmLtmXYiTMKHgktTP8We1SCoS47DrQ/edit?usp=sharing"",""จัดที่ดิน!AX69"")"),0)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IFERROR(__xludf.DUMMYFUNCTION("IMPORTRANGE(""https://docs.google.com/spreadsheets/d/1QqKyyYR6Q21VydFLVH3TRQUabQu_ym0Zz7PgGX0-kHA/edit?usp=sharing"",""แผน!HS69"")"),100)</f>
        <v>100</v>
      </c>
      <c r="J651" s="37">
        <f ca="1">IFERROR(__xludf.DUMMYFUNCTION("IMPORTRANGE(""https://docs.google.com/spreadsheets/d/1XWAQStnk-4SwqDmLtmXYiTMKHgktTP8We1SCoS47DrQ/edit?usp=sharing"",""จัดที่ดิน!AY69"")"),0)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IFERROR(__xludf.DUMMYFUNCTION("IMPORTRANGE(""https://docs.google.com/spreadsheets/d/1XWAQStnk-4SwqDmLtmXYiTMKHgktTP8We1SCoS47DrQ/edit?usp=sharing"",""จัดที่ดิน!AZ69"")"),0)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100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12400</v>
      </c>
      <c r="M655" s="191">
        <f t="shared" ca="1" si="273"/>
        <v>12400</v>
      </c>
      <c r="N655" s="191">
        <f t="shared" si="273"/>
        <v>3000</v>
      </c>
      <c r="O655" s="191">
        <f t="shared" ref="O655:O660" ca="1" si="274">IF(L655&gt;0,N655*100/L655,0)</f>
        <v>24.193548387096776</v>
      </c>
      <c r="P655" s="191">
        <f t="shared" ref="P655:P660" ca="1" si="275">IF(M655&gt;0,N655*100/M655,0)</f>
        <v>24.193548387096776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12400</v>
      </c>
      <c r="M657" s="45">
        <f t="shared" ca="1" si="276"/>
        <v>12400</v>
      </c>
      <c r="N657" s="45">
        <f t="shared" si="276"/>
        <v>3000</v>
      </c>
      <c r="O657" s="45">
        <f t="shared" ca="1" si="274"/>
        <v>24.193548387096776</v>
      </c>
      <c r="P657" s="45">
        <f t="shared" ca="1" si="275"/>
        <v>24.193548387096776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12400</v>
      </c>
      <c r="M658" s="38">
        <f t="shared" ca="1" si="277"/>
        <v>12400</v>
      </c>
      <c r="N658" s="38">
        <f t="shared" si="277"/>
        <v>3000</v>
      </c>
      <c r="O658" s="38">
        <f t="shared" ca="1" si="274"/>
        <v>24.193548387096776</v>
      </c>
      <c r="P658" s="38">
        <f t="shared" ca="1" si="275"/>
        <v>24.193548387096776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IFERROR(__xludf.DUMMYFUNCTION("IMPORTRANGE(""https://docs.google.com/spreadsheets/d/1QqKyyYR6Q21VydFLVH3TRQUabQu_ym0Zz7PgGX0-kHA/edit?usp=sharing"",""แผน!HV69"")"),12400)</f>
        <v>12400</v>
      </c>
      <c r="M660" s="45">
        <f ca="1">L660</f>
        <v>12400</v>
      </c>
      <c r="N660" s="45">
        <f>N661+N662+N663+N664</f>
        <v>3000</v>
      </c>
      <c r="O660" s="45">
        <f t="shared" ca="1" si="274"/>
        <v>24.193548387096776</v>
      </c>
      <c r="P660" s="45">
        <f t="shared" ca="1" si="275"/>
        <v>24.193548387096776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3000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IFERROR(__xludf.DUMMYFUNCTION("IMPORTRANGE(""https://docs.google.com/spreadsheets/d/1QqKyyYR6Q21VydFLVH3TRQUabQu_ym0Zz7PgGX0-kHA/edit?usp=sharing"",""แผน!IA69"")"),100)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IFERROR(__xludf.DUMMYFUNCTION("IMPORTRANGE(""https://docs.google.com/spreadsheets/d/1QqKyyYR6Q21VydFLVH3TRQUabQu_ym0Zz7PgGX0-kHA/edit?usp=sharing"",""แผน!HZ69"")"),4)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IFERROR(__xludf.DUMMYFUNCTION("IMPORTRANGE(""https://docs.google.com/spreadsheets/d/1QqKyyYR6Q21VydFLVH3TRQUabQu_ym0Zz7PgGX0-kHA/edit?usp=sharing"",""แผน!HZ69"")"),4)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 hidden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 hidden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 hidden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IFERROR(__xludf.DUMMYFUNCTION("IMPORTRANGE(""https://docs.google.com/spreadsheets/d/1QqKyyYR6Q21VydFLVH3TRQUabQu_ym0Zz7PgGX0-kHA/edit?usp=sharing"",""แผน!HW69"")"),0)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 hidden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 hidden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 hidden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 hidden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 hidden="1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 hidden="1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 hidden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IFERROR(__xludf.DUMMYFUNCTION("IMPORTRANGE(""https://docs.google.com/spreadsheets/d/1QqKyyYR6Q21VydFLVH3TRQUabQu_ym0Zz7PgGX0-kHA/edit?usp=sharing"",""แผน!IC69"")"),0)</f>
        <v>0</v>
      </c>
      <c r="J699" s="37">
        <f ca="1">IFERROR(__xludf.DUMMYFUNCTION("IMPORTRANGE(""https://docs.google.com/spreadsheets/d/1XWAQStnk-4SwqDmLtmXYiTMKHgktTP8We1SCoS47DrQ/edit?usp=sharing"",""จัดที่ดิน!BB69"")"),0)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 hidden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IFERROR(__xludf.DUMMYFUNCTION("IMPORTRANGE(""https://docs.google.com/spreadsheets/d/1QqKyyYR6Q21VydFLVH3TRQUabQu_ym0Zz7PgGX0-kHA/edit?usp=sharing"",""แผน!ID69"")"),0)</f>
        <v>0</v>
      </c>
      <c r="J700" s="37">
        <f ca="1">IFERROR(__xludf.DUMMYFUNCTION("IMPORTRANGE(""https://docs.google.com/spreadsheets/d/1XWAQStnk-4SwqDmLtmXYiTMKHgktTP8We1SCoS47DrQ/edit?usp=sharing"",""จัดที่ดิน!BD69"")"),0)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 hidden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IFERROR(__xludf.DUMMYFUNCTION("IMPORTRANGE(""https://docs.google.com/spreadsheets/d/1QqKyyYR6Q21VydFLVH3TRQUabQu_ym0Zz7PgGX0-kHA/edit?usp=sharing"",""แผน!IE69"")"),0)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 hidden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 hidden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 hidden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IFERROR(__xludf.DUMMYFUNCTION("IMPORTRANGE(""https://docs.google.com/spreadsheets/d/1QqKyyYR6Q21VydFLVH3TRQUabQu_ym0Zz7PgGX0-kHA/edit?usp=sharing"",""แผน!IF69"")"),0)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 hidden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 hidden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 hidden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IFERROR(__xludf.DUMMYFUNCTION("IMPORTRANGE(""https://docs.google.com/spreadsheets/d/1QqKyyYR6Q21VydFLVH3TRQUabQu_ym0Zz7PgGX0-kHA/edit?usp=sharing"",""แผน!IG69"")"),0)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 hidden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IFERROR(__xludf.DUMMYFUNCTION("IMPORTRANGE(""https://docs.google.com/spreadsheets/d/1QqKyyYR6Q21VydFLVH3TRQUabQu_ym0Zz7PgGX0-kHA/edit?usp=sharing"",""แผน!IH69"")"),0)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 hidden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 hidden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 hidden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 hidden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 hidden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 hidden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 hidden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 hidden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 hidden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 hidden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IFERROR(__xludf.DUMMYFUNCTION("IMPORTRANGE(""https://docs.google.com/spreadsheets/d/1XWAQStnk-4SwqDmLtmXYiTMKHgktTP8We1SCoS47DrQ/edit?usp=sharing"",""จัดที่ดิน!BF69"")"),0)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 hidden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IFERROR(__xludf.DUMMYFUNCTION("IMPORTRANGE(""https://docs.google.com/spreadsheets/d/1XWAQStnk-4SwqDmLtmXYiTMKHgktTP8We1SCoS47DrQ/edit?usp=sharing"",""จัดที่ดิน!BG69"")"),0)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 hidden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IFERROR(__xludf.DUMMYFUNCTION("IMPORTRANGE(""https://docs.google.com/spreadsheets/d/1QqKyyYR6Q21VydFLVH3TRQUabQu_ym0Zz7PgGX0-kHA/edit?usp=sharing"",""แผน!II69"")"),0)</f>
        <v>0</v>
      </c>
      <c r="J720" s="37">
        <f ca="1">IFERROR(__xludf.DUMMYFUNCTION("IMPORTRANGE(""https://docs.google.com/spreadsheets/d/1XWAQStnk-4SwqDmLtmXYiTMKHgktTP8We1SCoS47DrQ/edit?usp=sharing"",""จัดที่ดิน!BH69"")"),0)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 hidden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IFERROR(__xludf.DUMMYFUNCTION("IMPORTRANGE(""https://docs.google.com/spreadsheets/d/1QqKyyYR6Q21VydFLVH3TRQUabQu_ym0Zz7PgGX0-kHA/edit?usp=sharing"",""แผน!IJ69"")"),0)</f>
        <v>0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 hidden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IFERROR(__xludf.DUMMYFUNCTION("IMPORTRANGE(""https://docs.google.com/spreadsheets/d/1QqKyyYR6Q21VydFLVH3TRQUabQu_ym0Zz7PgGX0-kHA/edit?usp=sharing"",""แผน!IK69"")"),0)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 hidden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IFERROR(__xludf.DUMMYFUNCTION("IMPORTRANGE(""https://docs.google.com/spreadsheets/d/1QqKyyYR6Q21VydFLVH3TRQUabQu_ym0Zz7PgGX0-kHA/edit?usp=sharing"",""แผน!IL69"")"),0)</f>
        <v>0</v>
      </c>
      <c r="J723" s="37">
        <f ca="1">IFERROR(__xludf.DUMMYFUNCTION("IMPORTRANGE(""https://docs.google.com/spreadsheets/d/1XWAQStnk-4SwqDmLtmXYiTMKHgktTP8We1SCoS47DrQ/edit?usp=sharing"",""จัดที่ดิน!BM69"")"),0)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 hidden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IFERROR(__xludf.DUMMYFUNCTION("IMPORTRANGE(""https://docs.google.com/spreadsheets/d/1XWAQStnk-4SwqDmLtmXYiTMKHgktTP8We1SCoS47DrQ/edit?usp=sharing"",""จัดที่ดิน!BN69"")"),0)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 hidden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IFERROR(__xludf.DUMMYFUNCTION("IMPORTRANGE(""https://docs.google.com/spreadsheets/d/1QqKyyYR6Q21VydFLVH3TRQUabQu_ym0Zz7PgGX0-kHA/edit?usp=sharing"",""แผน!IM69"")"),0)</f>
        <v>0</v>
      </c>
      <c r="J725" s="37">
        <f ca="1">IFERROR(__xludf.DUMMYFUNCTION("IMPORTRANGE(""https://docs.google.com/spreadsheets/d/1XWAQStnk-4SwqDmLtmXYiTMKHgktTP8We1SCoS47DrQ/edit?usp=sharing"",""จัดที่ดิน!BO69"")"),0)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 hidden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IFERROR(__xludf.DUMMYFUNCTION("IMPORTRANGE(""https://docs.google.com/spreadsheets/d/1QqKyyYR6Q21VydFLVH3TRQUabQu_ym0Zz7PgGX0-kHA/edit?usp=sharing"",""แผน!IN69"")"),0)</f>
        <v>0</v>
      </c>
      <c r="J726" s="37">
        <f ca="1">IFERROR(__xludf.DUMMYFUNCTION("IMPORTRANGE(""https://docs.google.com/spreadsheets/d/1XWAQStnk-4SwqDmLtmXYiTMKHgktTP8We1SCoS47DrQ/edit?usp=sharing"",""จัดที่ดิน!BR69"")"),0)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 hidden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IFERROR(__xludf.DUMMYFUNCTION("IMPORTRANGE(""https://docs.google.com/spreadsheets/d/1XWAQStnk-4SwqDmLtmXYiTMKHgktTP8We1SCoS47DrQ/edit?usp=sharing"",""จัดที่ดิน!BS69"")"),0)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 hidden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IFERROR(__xludf.DUMMYFUNCTION("IMPORTRANGE(""https://docs.google.com/spreadsheets/d/1QqKyyYR6Q21VydFLVH3TRQUabQu_ym0Zz7PgGX0-kHA/edit?usp=sharing"",""แผน!IO69"")"),0)</f>
        <v>0</v>
      </c>
      <c r="J728" s="37">
        <f ca="1">IFERROR(__xludf.DUMMYFUNCTION("IMPORTRANGE(""https://docs.google.com/spreadsheets/d/1XWAQStnk-4SwqDmLtmXYiTMKHgktTP8We1SCoS47DrQ/edit?usp=sharing"",""จัดที่ดิน!BT69"")"),0)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 hidden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IFERROR(__xludf.DUMMYFUNCTION("IMPORTRANGE(""https://docs.google.com/spreadsheets/d/1QqKyyYR6Q21VydFLVH3TRQUabQu_ym0Zz7PgGX0-kHA/edit?usp=sharing"",""แผน!IP69"")"),0)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 hidden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 hidden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 hidden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 hidden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 hidden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 hidden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738" t="s">
        <v>46</v>
      </c>
      <c r="I785" s="739">
        <f t="shared" ref="I785:J785" ca="1" si="318">I801+I803</f>
        <v>5000</v>
      </c>
      <c r="J785" s="739">
        <f t="shared" ca="1" si="318"/>
        <v>1342</v>
      </c>
      <c r="K785" s="740">
        <f ca="1">IF(I785&gt;0,J785*100/I785,0)</f>
        <v>26.84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742" t="s">
        <v>12</v>
      </c>
      <c r="I786" s="743"/>
      <c r="J786" s="743"/>
      <c r="K786" s="744"/>
      <c r="L786" s="191">
        <f t="shared" ref="L786:N786" ca="1" si="319">L787+L788</f>
        <v>335200</v>
      </c>
      <c r="M786" s="191">
        <f t="shared" ca="1" si="319"/>
        <v>335200</v>
      </c>
      <c r="N786" s="191">
        <f t="shared" si="319"/>
        <v>137933.33000000002</v>
      </c>
      <c r="O786" s="191">
        <f t="shared" ref="O786:O791" ca="1" si="320">IF(L786&gt;0,N786*100/L786,0)</f>
        <v>41.149561455847262</v>
      </c>
      <c r="P786" s="191">
        <f t="shared" ref="P786:P791" ca="1" si="321">IF(M786&gt;0,N786*100/M786,0)</f>
        <v>41.149561455847262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745" t="s">
        <v>12</v>
      </c>
      <c r="I787" s="743"/>
      <c r="J787" s="743"/>
      <c r="K787" s="744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745" t="s">
        <v>12</v>
      </c>
      <c r="I788" s="743"/>
      <c r="J788" s="743"/>
      <c r="K788" s="744"/>
      <c r="L788" s="45">
        <f t="shared" ca="1" si="322"/>
        <v>335200</v>
      </c>
      <c r="M788" s="45">
        <f t="shared" ca="1" si="322"/>
        <v>335200</v>
      </c>
      <c r="N788" s="45">
        <f t="shared" si="322"/>
        <v>137933.33000000002</v>
      </c>
      <c r="O788" s="45">
        <f t="shared" ca="1" si="320"/>
        <v>41.149561455847262</v>
      </c>
      <c r="P788" s="45">
        <f t="shared" ca="1" si="321"/>
        <v>41.149561455847262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>
      <c r="A789" s="559"/>
      <c r="B789" s="538"/>
      <c r="C789" s="538"/>
      <c r="D789" s="567" t="s">
        <v>20</v>
      </c>
      <c r="E789" s="539"/>
      <c r="F789" s="539"/>
      <c r="G789" s="186"/>
      <c r="H789" s="746" t="s">
        <v>12</v>
      </c>
      <c r="I789" s="747"/>
      <c r="J789" s="747"/>
      <c r="K789" s="748"/>
      <c r="L789" s="38">
        <f t="shared" ref="L789:N789" ca="1" si="323">L790+L791</f>
        <v>335200</v>
      </c>
      <c r="M789" s="38">
        <f t="shared" ca="1" si="323"/>
        <v>335200</v>
      </c>
      <c r="N789" s="38">
        <f t="shared" si="323"/>
        <v>137933.33000000002</v>
      </c>
      <c r="O789" s="38">
        <f t="shared" ca="1" si="320"/>
        <v>41.149561455847262</v>
      </c>
      <c r="P789" s="38">
        <f t="shared" ca="1" si="321"/>
        <v>41.149561455847262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745" t="s">
        <v>12</v>
      </c>
      <c r="I790" s="743"/>
      <c r="J790" s="743"/>
      <c r="K790" s="744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745" t="s">
        <v>12</v>
      </c>
      <c r="I791" s="743"/>
      <c r="J791" s="743"/>
      <c r="K791" s="744"/>
      <c r="L791" s="45">
        <f ca="1">IFERROR(__xludf.DUMMYFUNCTION("IMPORTRANGE(""https://docs.google.com/spreadsheets/d/1QqKyyYR6Q21VydFLVH3TRQUabQu_ym0Zz7PgGX0-kHA/edit?usp=sharing"",""แผน!JJ69"")"),335200)</f>
        <v>335200</v>
      </c>
      <c r="M791" s="45">
        <f ca="1">L791</f>
        <v>335200</v>
      </c>
      <c r="N791" s="45">
        <f>N792+N793+N794+N795</f>
        <v>137933.33000000002</v>
      </c>
      <c r="O791" s="45">
        <f t="shared" ca="1" si="320"/>
        <v>41.149561455847262</v>
      </c>
      <c r="P791" s="45">
        <f t="shared" ca="1" si="321"/>
        <v>41.149561455847262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>
      <c r="A792" s="537"/>
      <c r="B792" s="538"/>
      <c r="C792" s="539"/>
      <c r="D792" s="539"/>
      <c r="E792" s="539"/>
      <c r="F792" s="539" t="s">
        <v>187</v>
      </c>
      <c r="G792" s="186"/>
      <c r="H792" s="746" t="s">
        <v>12</v>
      </c>
      <c r="I792" s="743"/>
      <c r="J792" s="743"/>
      <c r="K792" s="744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>
      <c r="A793" s="537"/>
      <c r="B793" s="538"/>
      <c r="C793" s="539"/>
      <c r="D793" s="539"/>
      <c r="E793" s="539"/>
      <c r="F793" s="539" t="s">
        <v>188</v>
      </c>
      <c r="G793" s="186"/>
      <c r="H793" s="746" t="s">
        <v>12</v>
      </c>
      <c r="I793" s="743"/>
      <c r="J793" s="743"/>
      <c r="K793" s="744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>
      <c r="A794" s="537"/>
      <c r="B794" s="538"/>
      <c r="C794" s="539"/>
      <c r="D794" s="539"/>
      <c r="E794" s="539"/>
      <c r="F794" s="539" t="s">
        <v>189</v>
      </c>
      <c r="G794" s="186"/>
      <c r="H794" s="746" t="s">
        <v>12</v>
      </c>
      <c r="I794" s="743"/>
      <c r="J794" s="743"/>
      <c r="K794" s="744"/>
      <c r="L794" s="38"/>
      <c r="M794" s="38"/>
      <c r="N794" s="271">
        <v>103133.33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>
      <c r="A795" s="537"/>
      <c r="B795" s="538"/>
      <c r="C795" s="539"/>
      <c r="D795" s="539"/>
      <c r="E795" s="539"/>
      <c r="F795" s="539" t="s">
        <v>190</v>
      </c>
      <c r="G795" s="186"/>
      <c r="H795" s="746" t="s">
        <v>12</v>
      </c>
      <c r="I795" s="743"/>
      <c r="J795" s="743"/>
      <c r="K795" s="744"/>
      <c r="L795" s="38"/>
      <c r="M795" s="38"/>
      <c r="N795" s="271">
        <v>34800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>
      <c r="A796" s="559"/>
      <c r="B796" s="538"/>
      <c r="C796" s="539"/>
      <c r="D796" s="567" t="s">
        <v>21</v>
      </c>
      <c r="E796" s="539"/>
      <c r="F796" s="539"/>
      <c r="G796" s="186"/>
      <c r="H796" s="749" t="s">
        <v>12</v>
      </c>
      <c r="I796" s="747"/>
      <c r="J796" s="747"/>
      <c r="K796" s="748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745" t="s">
        <v>12</v>
      </c>
      <c r="I797" s="747"/>
      <c r="J797" s="747"/>
      <c r="K797" s="748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750" t="s">
        <v>12</v>
      </c>
      <c r="I798" s="747"/>
      <c r="J798" s="747"/>
      <c r="K798" s="748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751"/>
      <c r="I799" s="747"/>
      <c r="J799" s="747"/>
      <c r="K799" s="748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>
      <c r="A800" s="568"/>
      <c r="B800" s="569"/>
      <c r="C800" s="569"/>
      <c r="D800" s="569"/>
      <c r="E800" s="184"/>
      <c r="F800" s="184" t="s">
        <v>321</v>
      </c>
      <c r="G800" s="174"/>
      <c r="H800" s="752" t="s">
        <v>34</v>
      </c>
      <c r="I800" s="747"/>
      <c r="J800" s="753">
        <f ca="1">IFERROR(__xludf.DUMMYFUNCTION("IMPORTRANGE(""https://docs.google.com/spreadsheets/d/1MaWodYyGHDf7siQLGxnXhG4mBNTNIuy296niS2xXulU/edit?usp=sharing"",""RTK!H69"")"),61)</f>
        <v>61</v>
      </c>
      <c r="K800" s="744"/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>
      <c r="A801" s="568"/>
      <c r="B801" s="569"/>
      <c r="C801" s="569"/>
      <c r="D801" s="569"/>
      <c r="E801" s="184"/>
      <c r="F801" s="184"/>
      <c r="G801" s="174"/>
      <c r="H801" s="746" t="s">
        <v>46</v>
      </c>
      <c r="I801" s="753">
        <f ca="1">IFERROR(__xludf.DUMMYFUNCTION("IMPORTRANGE(""https://docs.google.com/spreadsheets/d/1MaWodYyGHDf7siQLGxnXhG4mBNTNIuy296niS2xXulU/edit?usp=sharing"",""RTK!G69"")"),5000)</f>
        <v>5000</v>
      </c>
      <c r="J801" s="754">
        <f ca="1">IFERROR(__xludf.DUMMYFUNCTION("IMPORTRANGE(""https://docs.google.com/spreadsheets/d/1MaWodYyGHDf7siQLGxnXhG4mBNTNIuy296niS2xXulU/edit?usp=sharing"",""RTK!I69"")"),1342)</f>
        <v>1342</v>
      </c>
      <c r="K801" s="755">
        <f ca="1">IF(I801&gt;0,J801*100/I801,0)</f>
        <v>26.84</v>
      </c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>
      <c r="A802" s="574"/>
      <c r="B802" s="575"/>
      <c r="C802" s="575"/>
      <c r="D802" s="575"/>
      <c r="E802" s="563"/>
      <c r="F802" s="756" t="s">
        <v>322</v>
      </c>
      <c r="G802" s="351"/>
      <c r="H802" s="752" t="s">
        <v>34</v>
      </c>
      <c r="I802" s="747"/>
      <c r="J802" s="753">
        <f ca="1">IFERROR(__xludf.DUMMYFUNCTION("IMPORTRANGE(""https://docs.google.com/spreadsheets/d/1MaWodYyGHDf7siQLGxnXhG4mBNTNIuy296niS2xXulU/edit?usp=sharing"",""RTK!L69"")"),0)</f>
        <v>0</v>
      </c>
      <c r="K802" s="744"/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>
      <c r="A803" s="574"/>
      <c r="B803" s="575"/>
      <c r="C803" s="575"/>
      <c r="D803" s="575"/>
      <c r="E803" s="563"/>
      <c r="F803" s="563"/>
      <c r="G803" s="351"/>
      <c r="H803" s="752" t="s">
        <v>46</v>
      </c>
      <c r="I803" s="753">
        <f ca="1">IFERROR(__xludf.DUMMYFUNCTION("IMPORTRANGE(""https://docs.google.com/spreadsheets/d/1MaWodYyGHDf7siQLGxnXhG4mBNTNIuy296niS2xXulU/edit?usp=sharing"",""RTK!K69"")"),0)</f>
        <v>0</v>
      </c>
      <c r="J803" s="754">
        <f ca="1">IFERROR(__xludf.DUMMYFUNCTION("IMPORTRANGE(""https://docs.google.com/spreadsheets/d/1MaWodYyGHDf7siQLGxnXhG4mBNTNIuy296niS2xXulU/edit?usp=sharing"",""RTK!M69"")"),0)</f>
        <v>0</v>
      </c>
      <c r="K803" s="755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 t="shared" si="327"/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8">L806+L807</f>
        <v>0</v>
      </c>
      <c r="M805" s="598">
        <f t="shared" si="328"/>
        <v>0</v>
      </c>
      <c r="N805" s="598">
        <f t="shared" si="328"/>
        <v>0</v>
      </c>
      <c r="O805" s="598">
        <f t="shared" ref="O805:O810" si="329">IF(L805&gt;0,N805*100/L805,0)</f>
        <v>0</v>
      </c>
      <c r="P805" s="598">
        <f t="shared" ref="P805:P810" si="330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2">L809+L810</f>
        <v>0</v>
      </c>
      <c r="M808" s="598">
        <f t="shared" si="332"/>
        <v>0</v>
      </c>
      <c r="N808" s="598">
        <f t="shared" si="332"/>
        <v>0</v>
      </c>
      <c r="O808" s="598">
        <f t="shared" si="329"/>
        <v>0</v>
      </c>
      <c r="P808" s="598">
        <f t="shared" si="330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3">L816+L817</f>
        <v>0</v>
      </c>
      <c r="M815" s="598">
        <f t="shared" si="333"/>
        <v>0</v>
      </c>
      <c r="N815" s="598">
        <f t="shared" si="333"/>
        <v>0</v>
      </c>
      <c r="O815" s="598">
        <f t="shared" ref="O815:O817" si="334">IF(L815&gt;0,N815*100/L815,0)</f>
        <v>0</v>
      </c>
      <c r="P815" s="598">
        <f t="shared" ref="P815:P817" si="335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37">
        <f ca="1">IFERROR(__xludf.DUMMYFUNCTION("IMPORTRANGE(""https://docs.google.com/spreadsheets/d/19vJNZY_5yjcGF2XGBMNZRCAIB0Kwfpjp8YEOfu-bneM/edit?usp=sharing"",""งานกองทุน!F69"")"),7631681.42)</f>
        <v>7631681.4199999999</v>
      </c>
      <c r="K821" s="38">
        <f t="shared" ref="K821:K828" ca="1" si="336">IF(I821&gt;0,J821*100/I821,0)</f>
        <v>79.844442012579364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IFERROR(__xludf.DUMMYFUNCTION("IMPORTRANGE(""https://docs.google.com/spreadsheets/d/19vJNZY_5yjcGF2XGBMNZRCAIB0Kwfpjp8YEOfu-bneM/edit?usp=sharing"",""งานกองทุน!C69"")"),600)</f>
        <v>600</v>
      </c>
      <c r="J822" s="37">
        <f ca="1">IFERROR(__xludf.DUMMYFUNCTION("IMPORTRANGE(""https://docs.google.com/spreadsheets/d/19vJNZY_5yjcGF2XGBMNZRCAIB0Kwfpjp8YEOfu-bneM/edit?usp=sharing"",""งานกองทุน!E69"")"),468)</f>
        <v>468</v>
      </c>
      <c r="K822" s="38">
        <f t="shared" ca="1" si="336"/>
        <v>78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37">
        <f ca="1">IFERROR(__xludf.DUMMYFUNCTION("IMPORTRANGE(""https://docs.google.com/spreadsheets/d/19vJNZY_5yjcGF2XGBMNZRCAIB0Kwfpjp8YEOfu-bneM/edit?usp=sharing"",""งานกองทุน!K69"")"),1278492.83)</f>
        <v>1278492.83</v>
      </c>
      <c r="K823" s="38">
        <f t="shared" ca="1" si="336"/>
        <v>31.068671049547174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IFERROR(__xludf.DUMMYFUNCTION("IMPORTRANGE(""https://docs.google.com/spreadsheets/d/19vJNZY_5yjcGF2XGBMNZRCAIB0Kwfpjp8YEOfu-bneM/edit?usp=sharing"",""งานกองทุน!H69"")"),163)</f>
        <v>163</v>
      </c>
      <c r="J824" s="37">
        <f ca="1">IFERROR(__xludf.DUMMYFUNCTION("IMPORTRANGE(""https://docs.google.com/spreadsheets/d/19vJNZY_5yjcGF2XGBMNZRCAIB0Kwfpjp8YEOfu-bneM/edit?usp=sharing"",""งานกองทุน!J69"")"),135)</f>
        <v>135</v>
      </c>
      <c r="K824" s="38">
        <f t="shared" ca="1" si="336"/>
        <v>82.822085889570559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IFERROR(__xludf.DUMMYFUNCTION("IMPORTRANGE(""https://docs.google.com/spreadsheets/d/19vJNZY_5yjcGF2XGBMNZRCAIB0Kwfpjp8YEOfu-bneM/edit?usp=sharing"",""งานกองทุน!N69"")"),0)</f>
        <v>0</v>
      </c>
      <c r="J825" s="37">
        <f ca="1">IFERROR(__xludf.DUMMYFUNCTION("IMPORTRANGE(""https://docs.google.com/spreadsheets/d/19vJNZY_5yjcGF2XGBMNZRCAIB0Kwfpjp8YEOfu-bneM/edit?usp=sharing"",""งานกองทุน!P69"")"),24484.28)</f>
        <v>24484.28</v>
      </c>
      <c r="K825" s="38">
        <f t="shared" ca="1" si="336"/>
        <v>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IFERROR(__xludf.DUMMYFUNCTION("IMPORTRANGE(""https://docs.google.com/spreadsheets/d/19vJNZY_5yjcGF2XGBMNZRCAIB0Kwfpjp8YEOfu-bneM/edit?usp=sharing"",""งานกองทุน!M69"")"),0)</f>
        <v>0</v>
      </c>
      <c r="J826" s="37">
        <f ca="1">IFERROR(__xludf.DUMMYFUNCTION("IMPORTRANGE(""https://docs.google.com/spreadsheets/d/19vJNZY_5yjcGF2XGBMNZRCAIB0Kwfpjp8YEOfu-bneM/edit?usp=sharing"",""งานกองทุน!O69"")"),2)</f>
        <v>2</v>
      </c>
      <c r="K826" s="38">
        <f t="shared" ca="1" si="336"/>
        <v>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IFERROR(__xludf.DUMMYFUNCTION("IMPORTRANGE(""https://docs.google.com/spreadsheets/d/19vJNZY_5yjcGF2XGBMNZRCAIB0Kwfpjp8YEOfu-bneM/edit?usp=sharing"",""งานกองทุน!S69"")"),10000000)</f>
        <v>10000000</v>
      </c>
      <c r="J827" s="37">
        <f ca="1">IFERROR(__xludf.DUMMYFUNCTION("IMPORTRANGE(""https://docs.google.com/spreadsheets/d/19vJNZY_5yjcGF2XGBMNZRCAIB0Kwfpjp8YEOfu-bneM/edit?usp=sharing"",""งานกองทุน!U69"")"),13500000)</f>
        <v>13500000</v>
      </c>
      <c r="K827" s="38">
        <f t="shared" ca="1" si="336"/>
        <v>135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IFERROR(__xludf.DUMMYFUNCTION("IMPORTRANGE(""https://docs.google.com/spreadsheets/d/19vJNZY_5yjcGF2XGBMNZRCAIB0Kwfpjp8YEOfu-bneM/edit?usp=sharing"",""งานกองทุน!R69"")"),302)</f>
        <v>302</v>
      </c>
      <c r="J828" s="365">
        <f ca="1">IFERROR(__xludf.DUMMYFUNCTION("IMPORTRANGE(""https://docs.google.com/spreadsheets/d/19vJNZY_5yjcGF2XGBMNZRCAIB0Kwfpjp8YEOfu-bneM/edit?usp=sharing"",""งานกองทุน!T69"")"),308)</f>
        <v>308</v>
      </c>
      <c r="K828" s="472">
        <f t="shared" ca="1" si="336"/>
        <v>101.98675496688742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3132-AD90-4CE8-BB8A-9EA67908EC0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358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4307307</v>
      </c>
      <c r="N8" s="22">
        <f t="shared" ca="1" si="0"/>
        <v>3341072.35</v>
      </c>
      <c r="O8" s="22">
        <f t="shared" ref="O8:O16" ca="1" si="1">IF(L8&gt;0,N8*100/L8,0)</f>
        <v>81.326618738308483</v>
      </c>
      <c r="P8" s="22">
        <f t="shared" ref="P8:P16" ca="1" si="2">IF(M8&gt;0,N8*100/M8,0)</f>
        <v>77.567546264986447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4307307</v>
      </c>
      <c r="N10" s="30">
        <f t="shared" ca="1" si="3"/>
        <v>3341072.35</v>
      </c>
      <c r="O10" s="30">
        <f t="shared" ca="1" si="1"/>
        <v>81.326618738308483</v>
      </c>
      <c r="P10" s="30">
        <f t="shared" ca="1" si="2"/>
        <v>77.567546264986447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3994415</v>
      </c>
      <c r="M11" s="38">
        <f t="shared" ca="1" si="4"/>
        <v>4193507</v>
      </c>
      <c r="N11" s="38">
        <f t="shared" ca="1" si="4"/>
        <v>3227272.35</v>
      </c>
      <c r="O11" s="38">
        <f t="shared" ca="1" si="1"/>
        <v>80.79461823571161</v>
      </c>
      <c r="P11" s="38">
        <f t="shared" ca="1" si="2"/>
        <v>76.958792485621217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3994415</v>
      </c>
      <c r="M13" s="45">
        <f t="shared" ca="1" si="5"/>
        <v>4193507</v>
      </c>
      <c r="N13" s="45">
        <f t="shared" ca="1" si="5"/>
        <v>3227272.35</v>
      </c>
      <c r="O13" s="45">
        <f t="shared" ca="1" si="1"/>
        <v>80.79461823571161</v>
      </c>
      <c r="P13" s="45">
        <f t="shared" ca="1" si="2"/>
        <v>76.958792485621217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113800</v>
      </c>
      <c r="M14" s="38">
        <f t="shared" ca="1" si="6"/>
        <v>113800</v>
      </c>
      <c r="N14" s="38">
        <f t="shared" ca="1" si="6"/>
        <v>113800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3122244</v>
      </c>
      <c r="N18" s="22">
        <f t="shared" ca="1" si="8"/>
        <v>2647249.16</v>
      </c>
      <c r="O18" s="22">
        <f t="shared" ref="O18:O26" ca="1" si="9">IF(L18&gt;0,N18*100/L18,0)</f>
        <v>90.876574656644522</v>
      </c>
      <c r="P18" s="22">
        <f t="shared" ref="P18:P26" ca="1" si="10">IF(M18&gt;0,N18*100/M18,0)</f>
        <v>84.786748249015773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3122244</v>
      </c>
      <c r="N20" s="30">
        <f t="shared" ca="1" si="11"/>
        <v>2647249.16</v>
      </c>
      <c r="O20" s="30">
        <f t="shared" ca="1" si="9"/>
        <v>90.876574656644522</v>
      </c>
      <c r="P20" s="30">
        <f t="shared" ca="1" si="10"/>
        <v>84.786748249015773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2799216</v>
      </c>
      <c r="M21" s="38">
        <f t="shared" ca="1" si="12"/>
        <v>3008444</v>
      </c>
      <c r="N21" s="38">
        <f t="shared" ca="1" si="12"/>
        <v>2533449.16</v>
      </c>
      <c r="O21" s="38">
        <f t="shared" ca="1" si="9"/>
        <v>90.505668730101576</v>
      </c>
      <c r="P21" s="38">
        <f t="shared" ca="1" si="10"/>
        <v>84.211278654347566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2799216</v>
      </c>
      <c r="M23" s="45">
        <f t="shared" ca="1" si="13"/>
        <v>3008444</v>
      </c>
      <c r="N23" s="45">
        <f t="shared" ca="1" si="13"/>
        <v>2533449.16</v>
      </c>
      <c r="O23" s="45">
        <f t="shared" ca="1" si="9"/>
        <v>90.505668730101576</v>
      </c>
      <c r="P23" s="45">
        <f t="shared" ca="1" si="10"/>
        <v>84.211278654347566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113800</v>
      </c>
      <c r="M24" s="38">
        <f t="shared" ca="1" si="14"/>
        <v>113800</v>
      </c>
      <c r="N24" s="38">
        <f t="shared" ca="1" si="14"/>
        <v>113800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693823.19</v>
      </c>
      <c r="O28" s="22">
        <f t="shared" ref="O28:O37" ca="1" si="17">IF(L28&gt;0,N28*100/L28,0)</f>
        <v>58.050850946160431</v>
      </c>
      <c r="P28" s="22">
        <f t="shared" ref="P28:P37" ca="1" si="18">IF(M28&gt;0,N28*100/M28,0)</f>
        <v>58.54736752392067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693823.19</v>
      </c>
      <c r="O30" s="30">
        <f t="shared" ca="1" si="17"/>
        <v>58.050850946160431</v>
      </c>
      <c r="P30" s="30">
        <f t="shared" ca="1" si="18"/>
        <v>58.54736752392067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1195199</v>
      </c>
      <c r="M31" s="38">
        <f t="shared" ca="1" si="20"/>
        <v>1185063</v>
      </c>
      <c r="N31" s="38">
        <f t="shared" si="20"/>
        <v>693823.19</v>
      </c>
      <c r="O31" s="38">
        <f t="shared" ca="1" si="17"/>
        <v>58.050850946160431</v>
      </c>
      <c r="P31" s="38">
        <f t="shared" ca="1" si="18"/>
        <v>58.54736752392067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1195199</v>
      </c>
      <c r="M33" s="45">
        <f t="shared" ca="1" si="21"/>
        <v>1185063</v>
      </c>
      <c r="N33" s="45">
        <f t="shared" si="21"/>
        <v>693823.19</v>
      </c>
      <c r="O33" s="45">
        <f t="shared" ca="1" si="17"/>
        <v>58.050850946160431</v>
      </c>
      <c r="P33" s="45">
        <f t="shared" ca="1" si="18"/>
        <v>58.54736752392067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3122244</v>
      </c>
      <c r="N37" s="59">
        <f t="shared" ca="1" si="24"/>
        <v>2647249.16</v>
      </c>
      <c r="O37" s="59">
        <f t="shared" ca="1" si="17"/>
        <v>90.876574656644522</v>
      </c>
      <c r="P37" s="59">
        <f t="shared" ca="1" si="18"/>
        <v>84.786748249015773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614144</v>
      </c>
      <c r="N41" s="85">
        <f t="shared" ca="1" si="25"/>
        <v>475816</v>
      </c>
      <c r="O41" s="85">
        <f t="shared" ref="O41:O49" ca="1" si="26">IF(L41&gt;0,N41*100/L41,0)</f>
        <v>100.19372662646137</v>
      </c>
      <c r="P41" s="85">
        <f t="shared" ref="P41:P49" ca="1" si="27">IF(M41&gt;0,N41*100/M41,0)</f>
        <v>77.476292205085457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614144</v>
      </c>
      <c r="N43" s="92">
        <f t="shared" ca="1" si="28"/>
        <v>475816</v>
      </c>
      <c r="O43" s="92">
        <f t="shared" ca="1" si="26"/>
        <v>100.19372662646137</v>
      </c>
      <c r="P43" s="92">
        <f t="shared" ca="1" si="27"/>
        <v>77.476292205085457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474896</v>
      </c>
      <c r="M44" s="38">
        <f t="shared" ca="1" si="29"/>
        <v>614144</v>
      </c>
      <c r="N44" s="38">
        <f t="shared" ca="1" si="29"/>
        <v>475816</v>
      </c>
      <c r="O44" s="38">
        <f t="shared" ca="1" si="26"/>
        <v>100.19372662646137</v>
      </c>
      <c r="P44" s="38">
        <f t="shared" ca="1" si="27"/>
        <v>77.476292205085457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IFERROR(__xludf.DUMMYFUNCTION("IMPORTRANGE(""https://docs.google.com/spreadsheets/d/1MeEWN-I1oV_STSDYn1IFDPWt_1FKiwhDph83XaGc0o0/edit?usp=sharing"",""งบพรบ!M70"")"),474896)</f>
        <v>474896</v>
      </c>
      <c r="M46" s="45">
        <f ca="1">IFERROR(__xludf.DUMMYFUNCTION("IMPORTRANGE(""https://docs.google.com/spreadsheets/d/1MeEWN-I1oV_STSDYn1IFDPWt_1FKiwhDph83XaGc0o0/edit?usp=sharing"",""งบพรบ!R70"")"),614144)</f>
        <v>614144</v>
      </c>
      <c r="N46" s="45">
        <f ca="1">IFERROR(__xludf.DUMMYFUNCTION("IMPORTRANGE(""https://docs.google.com/spreadsheets/d/1MeEWN-I1oV_STSDYn1IFDPWt_1FKiwhDph83XaGc0o0/edit?usp=sharing"",""งบพรบ!T70"")"),475816)</f>
        <v>475816</v>
      </c>
      <c r="O46" s="45">
        <f t="shared" ca="1" si="26"/>
        <v>100.19372662646137</v>
      </c>
      <c r="P46" s="45">
        <f t="shared" ca="1" si="27"/>
        <v>77.476292205085457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643000</v>
      </c>
      <c r="M53" s="115">
        <f t="shared" ca="1" si="31"/>
        <v>643000</v>
      </c>
      <c r="N53" s="115">
        <f t="shared" ca="1" si="31"/>
        <v>620159.94999999995</v>
      </c>
      <c r="O53" s="115">
        <f t="shared" ref="O53:O61" ca="1" si="32">IF(L53&gt;0,N53*100/L53,0)</f>
        <v>96.447892690513214</v>
      </c>
      <c r="P53" s="115">
        <f t="shared" ref="P53:P61" ca="1" si="33">IF(M53&gt;0,N53*100/M53,0)</f>
        <v>96.447892690513214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643000</v>
      </c>
      <c r="M55" s="122">
        <f t="shared" ca="1" si="34"/>
        <v>643000</v>
      </c>
      <c r="N55" s="122">
        <f t="shared" ca="1" si="34"/>
        <v>620159.94999999995</v>
      </c>
      <c r="O55" s="122">
        <f t="shared" ca="1" si="32"/>
        <v>96.447892690513214</v>
      </c>
      <c r="P55" s="122">
        <f t="shared" ca="1" si="33"/>
        <v>96.447892690513214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643000</v>
      </c>
      <c r="M56" s="38">
        <f t="shared" ca="1" si="35"/>
        <v>643000</v>
      </c>
      <c r="N56" s="38">
        <f t="shared" ca="1" si="35"/>
        <v>620159.94999999995</v>
      </c>
      <c r="O56" s="38">
        <f t="shared" ca="1" si="32"/>
        <v>96.447892690513214</v>
      </c>
      <c r="P56" s="38">
        <f t="shared" ca="1" si="33"/>
        <v>96.447892690513214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IFERROR(__xludf.DUMMYFUNCTION("IMPORTRANGE(""https://docs.google.com/spreadsheets/d/1MeEWN-I1oV_STSDYn1IFDPWt_1FKiwhDph83XaGc0o0/edit?usp=sharing"",""งบพรบ!W70"")"),643000)</f>
        <v>643000</v>
      </c>
      <c r="M58" s="45">
        <f ca="1">IFERROR(__xludf.DUMMYFUNCTION("IMPORTRANGE(""https://docs.google.com/spreadsheets/d/1MeEWN-I1oV_STSDYn1IFDPWt_1FKiwhDph83XaGc0o0/edit?usp=sharing"",""งบพรบ!AB70"")"),643000)</f>
        <v>643000</v>
      </c>
      <c r="N58" s="45">
        <f ca="1">IFERROR(__xludf.DUMMYFUNCTION("IMPORTRANGE(""https://docs.google.com/spreadsheets/d/1MeEWN-I1oV_STSDYn1IFDPWt_1FKiwhDph83XaGc0o0/edit?usp=sharing"",""งบพรบ!AD70"")"),620159.95)</f>
        <v>620159.94999999995</v>
      </c>
      <c r="O58" s="45">
        <f t="shared" ca="1" si="32"/>
        <v>96.447892690513214</v>
      </c>
      <c r="P58" s="45">
        <f t="shared" ca="1" si="33"/>
        <v>96.447892690513214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IFERROR(__xludf.DUMMYFUNCTION("IMPORTRANGE(""https://docs.google.com/spreadsheets/d/1MeEWN-I1oV_STSDYn1IFDPWt_1FKiwhDph83XaGc0o0/edit?usp=sharing"",""งบพรบ!AG70"")"),0)</f>
        <v>0</v>
      </c>
      <c r="M71" s="45">
        <f ca="1">IFERROR(__xludf.DUMMYFUNCTION("IMPORTRANGE(""https://docs.google.com/spreadsheets/d/1MeEWN-I1oV_STSDYn1IFDPWt_1FKiwhDph83XaGc0o0/edit?usp=sharing"",""งบพรบ!AL70"")"),0)</f>
        <v>0</v>
      </c>
      <c r="N71" s="45">
        <f ca="1">IFERROR(__xludf.DUMMYFUNCTION("IMPORTRANGE(""https://docs.google.com/spreadsheets/d/1MeEWN-I1oV_STSDYn1IFDPWt_1FKiwhDph83XaGc0o0/edit?usp=sharing"",""งบพรบ!AN70"")"),0)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IFERROR(__xludf.DUMMYFUNCTION("IMPORTRANGE(""https://docs.google.com/spreadsheets/d/1MeEWN-I1oV_STSDYn1IFDPWt_1FKiwhDph83XaGc0o0/edit?usp=sharing"",""งบพรบ!AJ70"")"),0)</f>
        <v>0</v>
      </c>
      <c r="M74" s="45">
        <f ca="1">IFERROR(__xludf.DUMMYFUNCTION("IMPORTRANGE(""https://docs.google.com/spreadsheets/d/1MeEWN-I1oV_STSDYn1IFDPWt_1FKiwhDph83XaGc0o0/edit?usp=sharing"",""งบพรบ!AM70"")"),0)</f>
        <v>0</v>
      </c>
      <c r="N74" s="45">
        <f ca="1">IFERROR(__xludf.DUMMYFUNCTION("IMPORTRANGE(""https://docs.google.com/spreadsheets/d/1MeEWN-I1oV_STSDYn1IFDPWt_1FKiwhDph83XaGc0o0/edit?usp=sharing"",""งบพรบ!AO70"")"),0)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IFERROR(__xludf.DUMMYFUNCTION("IMPORTRANGE(""https://docs.google.com/spreadsheets/d/1QqKyyYR6Q21VydFLVH3TRQUabQu_ym0Zz7PgGX0-kHA/edit?usp=sharing"",""แผน!F70"")"),0)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IFERROR(__xludf.DUMMYFUNCTION("IMPORTRANGE(""https://docs.google.com/spreadsheets/d/1QqKyyYR6Q21VydFLVH3TRQUabQu_ym0Zz7PgGX0-kHA/edit?usp=sharing"",""แผน!G70"")"),0)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IFERROR(__xludf.DUMMYFUNCTION("IMPORTRANGE(""https://docs.google.com/spreadsheets/d/1QqKyyYR6Q21VydFLVH3TRQUabQu_ym0Zz7PgGX0-kHA/edit?usp=sharing"",""แผน!J70"")"),0)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68660</v>
      </c>
      <c r="M88" s="154">
        <f t="shared" ca="1" si="49"/>
        <v>68660</v>
      </c>
      <c r="N88" s="154">
        <f t="shared" ca="1" si="49"/>
        <v>58605.599999999999</v>
      </c>
      <c r="O88" s="154">
        <f t="shared" ref="O88:O96" ca="1" si="50">IF(L88&gt;0,N88*100/L88,0)</f>
        <v>85.3562481794349</v>
      </c>
      <c r="P88" s="154">
        <f t="shared" ref="P88:P96" ca="1" si="51">IF(M88&gt;0,N88*100/M88,0)</f>
        <v>85.3562481794349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68660</v>
      </c>
      <c r="M90" s="45">
        <f t="shared" ca="1" si="52"/>
        <v>68660</v>
      </c>
      <c r="N90" s="45">
        <f t="shared" ca="1" si="52"/>
        <v>58605.599999999999</v>
      </c>
      <c r="O90" s="45">
        <f t="shared" ca="1" si="50"/>
        <v>85.3562481794349</v>
      </c>
      <c r="P90" s="45">
        <f t="shared" ca="1" si="51"/>
        <v>85.3562481794349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68660</v>
      </c>
      <c r="M91" s="38">
        <f t="shared" ca="1" si="53"/>
        <v>68660</v>
      </c>
      <c r="N91" s="38">
        <f t="shared" ca="1" si="53"/>
        <v>58605.599999999999</v>
      </c>
      <c r="O91" s="38">
        <f t="shared" ca="1" si="50"/>
        <v>85.3562481794349</v>
      </c>
      <c r="P91" s="38">
        <f t="shared" ca="1" si="51"/>
        <v>85.3562481794349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IFERROR(__xludf.DUMMYFUNCTION("IMPORTRANGE(""https://docs.google.com/spreadsheets/d/1MeEWN-I1oV_STSDYn1IFDPWt_1FKiwhDph83XaGc0o0/edit?usp=sharing"",""งบพรบ!AQ70"")"),68660)</f>
        <v>68660</v>
      </c>
      <c r="M93" s="45">
        <f ca="1">IFERROR(__xludf.DUMMYFUNCTION("IMPORTRANGE(""https://docs.google.com/spreadsheets/d/1MeEWN-I1oV_STSDYn1IFDPWt_1FKiwhDph83XaGc0o0/edit?usp=sharing"",""งบพรบ!AV70"")"),68660)</f>
        <v>68660</v>
      </c>
      <c r="N93" s="45">
        <f ca="1">IFERROR(__xludf.DUMMYFUNCTION("IMPORTRANGE(""https://docs.google.com/spreadsheets/d/1MeEWN-I1oV_STSDYn1IFDPWt_1FKiwhDph83XaGc0o0/edit?usp=sharing"",""งบพรบ!AX70"")"),58605.6)</f>
        <v>58605.599999999999</v>
      </c>
      <c r="O93" s="45">
        <f t="shared" ca="1" si="50"/>
        <v>85.3562481794349</v>
      </c>
      <c r="P93" s="45">
        <f t="shared" ca="1" si="51"/>
        <v>85.3562481794349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IFERROR(__xludf.DUMMYFUNCTION("IMPORTRANGE(""https://docs.google.com/spreadsheets/d/1MeEWN-I1oV_STSDYn1IFDPWt_1FKiwhDph83XaGc0o0/edit?usp=sharing"",""งบพรบ!AT70"")"),0)</f>
        <v>0</v>
      </c>
      <c r="M96" s="45">
        <f ca="1">IFERROR(__xludf.DUMMYFUNCTION("IMPORTRANGE(""https://docs.google.com/spreadsheets/d/1MeEWN-I1oV_STSDYn1IFDPWt_1FKiwhDph83XaGc0o0/edit?usp=sharing"",""งบพรบ!AW70"")"),0)</f>
        <v>0</v>
      </c>
      <c r="N96" s="45">
        <f ca="1">IFERROR(__xludf.DUMMYFUNCTION("IMPORTRANGE(""https://docs.google.com/spreadsheets/d/1MeEWN-I1oV_STSDYn1IFDPWt_1FKiwhDph83XaGc0o0/edit?usp=sharing"",""งบพรบ!AY70"")"),0)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IFERROR(__xludf.DUMMYFUNCTION("IMPORTRANGE(""https://docs.google.com/spreadsheets/d/1QqKyyYR6Q21VydFLVH3TRQUabQu_ym0Zz7PgGX0-kHA/edit?usp=sharing"",""แผน!K70"")"),45)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IFERROR(__xludf.DUMMYFUNCTION("IMPORTRANGE(""https://docs.google.com/spreadsheets/d/1QqKyyYR6Q21VydFLVH3TRQUabQu_ym0Zz7PgGX0-kHA/edit?usp=sharing"",""แผน!L70"")"),15)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IFERROR(__xludf.DUMMYFUNCTION("IMPORTRANGE(""https://docs.google.com/spreadsheets/d/1QqKyyYR6Q21VydFLVH3TRQUabQu_ym0Zz7PgGX0-kHA/edit?usp=sharing"",""แผน!M70"")"),1)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IFERROR(__xludf.DUMMYFUNCTION("IMPORTRANGE(""https://docs.google.com/spreadsheets/d/1QqKyyYR6Q21VydFLVH3TRQUabQu_ym0Zz7PgGX0-kHA/edit?usp=sharing"",""แผน!N70"")"),45)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IFERROR(__xludf.DUMMYFUNCTION("IMPORTRANGE(""https://docs.google.com/spreadsheets/d/1QqKyyYR6Q21VydFLVH3TRQUabQu_ym0Zz7PgGX0-kHA/edit?usp=sharing"",""แผน!O70"")"),15)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IFERROR(__xludf.DUMMYFUNCTION("IMPORTRANGE(""https://docs.google.com/spreadsheets/d/1QqKyyYR6Q21VydFLVH3TRQUabQu_ym0Zz7PgGX0-kHA/edit?usp=sharing"",""แผน!O70"")"),15)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IFERROR(__xludf.DUMMYFUNCTION("IMPORTRANGE(""https://docs.google.com/spreadsheets/d/1QqKyyYR6Q21VydFLVH3TRQUabQu_ym0Zz7PgGX0-kHA/edit?usp=sharing"",""แผน!P70"")"),0)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IFERROR(__xludf.DUMMYFUNCTION("IMPORTRANGE(""https://docs.google.com/spreadsheets/d/1QqKyyYR6Q21VydFLVH3TRQUabQu_ym0Zz7PgGX0-kHA/edit?usp=sharing"",""แผน!P70"")"),0)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IFERROR(__xludf.DUMMYFUNCTION("IMPORTRANGE(""https://docs.google.com/spreadsheets/d/1QqKyyYR6Q21VydFLVH3TRQUabQu_ym0Zz7PgGX0-kHA/edit?usp=sharing"",""แผน!R70"")"),15)</f>
        <v>15</v>
      </c>
      <c r="J111" s="190">
        <f>J114</f>
        <v>15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IFERROR(__xludf.DUMMYFUNCTION("IMPORTRANGE(""https://docs.google.com/spreadsheets/d/1QqKyyYR6Q21VydFLVH3TRQUabQu_ym0Zz7PgGX0-kHA/edit?usp=sharing"",""แผน!R70"")"),15)</f>
        <v>15</v>
      </c>
      <c r="J113" s="181">
        <v>15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IFERROR(__xludf.DUMMYFUNCTION("IMPORTRANGE(""https://docs.google.com/spreadsheets/d/1QqKyyYR6Q21VydFLVH3TRQUabQu_ym0Zz7PgGX0-kHA/edit?usp=sharing"",""แผน!R70"")"),15)</f>
        <v>15</v>
      </c>
      <c r="J114" s="181">
        <v>15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IFERROR(__xludf.DUMMYFUNCTION("IMPORTRANGE(""https://docs.google.com/spreadsheets/d/1QqKyyYR6Q21VydFLVH3TRQUabQu_ym0Zz7PgGX0-kHA/edit?usp=sharing"",""แผน!S70"")"),0)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IFERROR(__xludf.DUMMYFUNCTION("IMPORTRANGE(""https://docs.google.com/spreadsheets/d/1QqKyyYR6Q21VydFLVH3TRQUabQu_ym0Zz7PgGX0-kHA/edit?usp=sharing"",""แผน!T70"")"),1)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IFERROR(__xludf.DUMMYFUNCTION("IMPORTRANGE(""https://docs.google.com/spreadsheets/d/1MeEWN-I1oV_STSDYn1IFDPWt_1FKiwhDph83XaGc0o0/edit?usp=sharing"",""งบพรบ!BA70"")"),0)</f>
        <v>0</v>
      </c>
      <c r="M124" s="45">
        <f ca="1">IFERROR(__xludf.DUMMYFUNCTION("IMPORTRANGE(""https://docs.google.com/spreadsheets/d/1MeEWN-I1oV_STSDYn1IFDPWt_1FKiwhDph83XaGc0o0/edit?usp=sharing"",""งบพรบ!BF70"")"),0)</f>
        <v>0</v>
      </c>
      <c r="N124" s="45">
        <f ca="1">IFERROR(__xludf.DUMMYFUNCTION("IMPORTRANGE(""https://docs.google.com/spreadsheets/d/1MeEWN-I1oV_STSDYn1IFDPWt_1FKiwhDph83XaGc0o0/edit?usp=sharing"",""งบพรบ!BH70"")"),0)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IFERROR(__xludf.DUMMYFUNCTION("IMPORTRANGE(""https://docs.google.com/spreadsheets/d/1MeEWN-I1oV_STSDYn1IFDPWt_1FKiwhDph83XaGc0o0/edit?usp=sharing"",""งบพรบ!BD70"")"),0)</f>
        <v>0</v>
      </c>
      <c r="M127" s="45">
        <f ca="1">IFERROR(__xludf.DUMMYFUNCTION("IMPORTRANGE(""https://docs.google.com/spreadsheets/d/1MeEWN-I1oV_STSDYn1IFDPWt_1FKiwhDph83XaGc0o0/edit?usp=sharing"",""งบพรบ!BG70"")"),0)</f>
        <v>0</v>
      </c>
      <c r="N127" s="45">
        <f ca="1">IFERROR(__xludf.DUMMYFUNCTION("IMPORTRANGE(""https://docs.google.com/spreadsheets/d/1MeEWN-I1oV_STSDYn1IFDPWt_1FKiwhDph83XaGc0o0/edit?usp=sharing"",""งบพรบ!BI70"")"),0)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IFERROR(__xludf.DUMMYFUNCTION("IMPORTRANGE(""https://docs.google.com/spreadsheets/d/1MeEWN-I1oV_STSDYn1IFDPWt_1FKiwhDph83XaGc0o0/edit?usp=sharing"",""งบพรบ!BK70"")"),0)</f>
        <v>0</v>
      </c>
      <c r="M137" s="45">
        <f ca="1">IFERROR(__xludf.DUMMYFUNCTION("IMPORTRANGE(""https://docs.google.com/spreadsheets/d/1MeEWN-I1oV_STSDYn1IFDPWt_1FKiwhDph83XaGc0o0/edit?usp=sharing"",""งบพรบ!BP70"")"),0)</f>
        <v>0</v>
      </c>
      <c r="N137" s="45">
        <f ca="1">IFERROR(__xludf.DUMMYFUNCTION("IMPORTRANGE(""https://docs.google.com/spreadsheets/d/1MeEWN-I1oV_STSDYn1IFDPWt_1FKiwhDph83XaGc0o0/edit?usp=sharing"",""งบพรบ!BR70"")"),0)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IFERROR(__xludf.DUMMYFUNCTION("IMPORTRANGE(""https://docs.google.com/spreadsheets/d/1MeEWN-I1oV_STSDYn1IFDPWt_1FKiwhDph83XaGc0o0/edit?usp=sharing"",""งบพรบ!BN70"")"),0)</f>
        <v>0</v>
      </c>
      <c r="M140" s="45">
        <f ca="1">IFERROR(__xludf.DUMMYFUNCTION("IMPORTRANGE(""https://docs.google.com/spreadsheets/d/1MeEWN-I1oV_STSDYn1IFDPWt_1FKiwhDph83XaGc0o0/edit?usp=sharing"",""งบพรบ!BQ70"")"),0)</f>
        <v>0</v>
      </c>
      <c r="N140" s="45">
        <f ca="1">IFERROR(__xludf.DUMMYFUNCTION("IMPORTRANGE(""https://docs.google.com/spreadsheets/d/1MeEWN-I1oV_STSDYn1IFDPWt_1FKiwhDph83XaGc0o0/edit?usp=sharing"",""งบพรบ!BS70"")"),0)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IFERROR(__xludf.DUMMYFUNCTION("IMPORTRANGE(""https://docs.google.com/spreadsheets/d/1QqKyyYR6Q21VydFLVH3TRQUabQu_ym0Zz7PgGX0-kHA/edit?usp=sharing"",""แผน!U70"")"),0)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IFERROR(__xludf.DUMMYFUNCTION("IMPORTRANGE(""https://docs.google.com/spreadsheets/d/1QqKyyYR6Q21VydFLVH3TRQUabQu_ym0Zz7PgGX0-kHA/edit?usp=sharing"",""แผน!V70"")"),0)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IFERROR(__xludf.DUMMYFUNCTION("IMPORTRANGE(""https://docs.google.com/spreadsheets/d/1QqKyyYR6Q21VydFLVH3TRQUabQu_ym0Zz7PgGX0-kHA/edit?usp=sharing"",""แผน!W70"")"),0)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15</v>
      </c>
      <c r="J148" s="143">
        <f t="shared" si="76"/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7500</v>
      </c>
      <c r="M149" s="154">
        <f t="shared" ca="1" si="77"/>
        <v>8700</v>
      </c>
      <c r="N149" s="154">
        <f t="shared" ca="1" si="77"/>
        <v>8700</v>
      </c>
      <c r="O149" s="154">
        <f t="shared" ref="O149:O157" ca="1" si="78">IF(L149&gt;0,N149*100/L149,0)</f>
        <v>116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7500</v>
      </c>
      <c r="M151" s="45">
        <f t="shared" ca="1" si="80"/>
        <v>8700</v>
      </c>
      <c r="N151" s="45">
        <f t="shared" ca="1" si="80"/>
        <v>8700</v>
      </c>
      <c r="O151" s="45">
        <f t="shared" ca="1" si="78"/>
        <v>116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7500</v>
      </c>
      <c r="M152" s="38">
        <f t="shared" ca="1" si="81"/>
        <v>8700</v>
      </c>
      <c r="N152" s="38">
        <f t="shared" ca="1" si="81"/>
        <v>8700</v>
      </c>
      <c r="O152" s="38">
        <f t="shared" ca="1" si="78"/>
        <v>116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IFERROR(__xludf.DUMMYFUNCTION("IMPORTRANGE(""https://docs.google.com/spreadsheets/d/1MeEWN-I1oV_STSDYn1IFDPWt_1FKiwhDph83XaGc0o0/edit?usp=sharing"",""งบพรบ!BU70"")"),7500)</f>
        <v>7500</v>
      </c>
      <c r="M154" s="45">
        <f ca="1">IFERROR(__xludf.DUMMYFUNCTION("IMPORTRANGE(""https://docs.google.com/spreadsheets/d/1MeEWN-I1oV_STSDYn1IFDPWt_1FKiwhDph83XaGc0o0/edit?usp=sharing"",""งบพรบ!BZ70"")"),8700)</f>
        <v>8700</v>
      </c>
      <c r="N154" s="45">
        <f ca="1">IFERROR(__xludf.DUMMYFUNCTION("IMPORTRANGE(""https://docs.google.com/spreadsheets/d/1MeEWN-I1oV_STSDYn1IFDPWt_1FKiwhDph83XaGc0o0/edit?usp=sharing"",""งบพรบ!CB70"")"),8700)</f>
        <v>8700</v>
      </c>
      <c r="O154" s="45">
        <f t="shared" ca="1" si="78"/>
        <v>116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IFERROR(__xludf.DUMMYFUNCTION("IMPORTRANGE(""https://docs.google.com/spreadsheets/d/1MeEWN-I1oV_STSDYn1IFDPWt_1FKiwhDph83XaGc0o0/edit?usp=sharing"",""งบพรบ!BX70"")"),0)</f>
        <v>0</v>
      </c>
      <c r="M157" s="45">
        <f ca="1">IFERROR(__xludf.DUMMYFUNCTION("IMPORTRANGE(""https://docs.google.com/spreadsheets/d/1MeEWN-I1oV_STSDYn1IFDPWt_1FKiwhDph83XaGc0o0/edit?usp=sharing"",""งบพรบ!CA70"")"),0)</f>
        <v>0</v>
      </c>
      <c r="N157" s="45">
        <f ca="1">IFERROR(__xludf.DUMMYFUNCTION("IMPORTRANGE(""https://docs.google.com/spreadsheets/d/1MeEWN-I1oV_STSDYn1IFDPWt_1FKiwhDph83XaGc0o0/edit?usp=sharing"",""งบพรบ!CC70"")"),0)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IFERROR(__xludf.DUMMYFUNCTION("IMPORTRANGE(""https://docs.google.com/spreadsheets/d/1QqKyyYR6Q21VydFLVH3TRQUabQu_ym0Zz7PgGX0-kHA/edit?usp=sharing"",""แผน!X70"")"),15)</f>
        <v>15</v>
      </c>
      <c r="J159" s="838">
        <v>15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36260</v>
      </c>
      <c r="N165" s="154">
        <f t="shared" ca="1" si="84"/>
        <v>33467.56</v>
      </c>
      <c r="O165" s="154">
        <f t="shared" ref="O165:O173" ca="1" si="85">IF(L165&gt;0,N165*100/L165,0)</f>
        <v>145.13252385082393</v>
      </c>
      <c r="P165" s="154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36260</v>
      </c>
      <c r="N167" s="45">
        <f t="shared" ca="1" si="87"/>
        <v>33467.56</v>
      </c>
      <c r="O167" s="45">
        <f t="shared" ca="1" si="85"/>
        <v>145.13252385082393</v>
      </c>
      <c r="P167" s="45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36260</v>
      </c>
      <c r="N168" s="38">
        <f t="shared" ca="1" si="88"/>
        <v>33467.56</v>
      </c>
      <c r="O168" s="38">
        <f t="shared" ca="1" si="85"/>
        <v>145.13252385082393</v>
      </c>
      <c r="P168" s="38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IFERROR(__xludf.DUMMYFUNCTION("IMPORTRANGE(""https://docs.google.com/spreadsheets/d/1MeEWN-I1oV_STSDYn1IFDPWt_1FKiwhDph83XaGc0o0/edit?usp=sharing"",""งบพรบ!CE70"")"),23060)</f>
        <v>23060</v>
      </c>
      <c r="M170" s="45">
        <f ca="1">IFERROR(__xludf.DUMMYFUNCTION("IMPORTRANGE(""https://docs.google.com/spreadsheets/d/1MeEWN-I1oV_STSDYn1IFDPWt_1FKiwhDph83XaGc0o0/edit?usp=sharing"",""งบพรบ!CJ70"")"),36260)</f>
        <v>36260</v>
      </c>
      <c r="N170" s="45">
        <f ca="1">IFERROR(__xludf.DUMMYFUNCTION("IMPORTRANGE(""https://docs.google.com/spreadsheets/d/1MeEWN-I1oV_STSDYn1IFDPWt_1FKiwhDph83XaGc0o0/edit?usp=sharing"",""งบพรบ!CL70"")"),33467.56)</f>
        <v>33467.56</v>
      </c>
      <c r="O170" s="45">
        <f t="shared" ca="1" si="85"/>
        <v>145.13252385082393</v>
      </c>
      <c r="P170" s="45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IFERROR(__xludf.DUMMYFUNCTION("IMPORTRANGE(""https://docs.google.com/spreadsheets/d/1MeEWN-I1oV_STSDYn1IFDPWt_1FKiwhDph83XaGc0o0/edit?usp=sharing"",""งบพรบ!CH70"")"),0)</f>
        <v>0</v>
      </c>
      <c r="M173" s="45">
        <f ca="1">IFERROR(__xludf.DUMMYFUNCTION("IMPORTRANGE(""https://docs.google.com/spreadsheets/d/1MeEWN-I1oV_STSDYn1IFDPWt_1FKiwhDph83XaGc0o0/edit?usp=sharing"",""งบพรบ!CK70"")"),0)</f>
        <v>0</v>
      </c>
      <c r="N173" s="45">
        <f ca="1">IFERROR(__xludf.DUMMYFUNCTION("IMPORTRANGE(""https://docs.google.com/spreadsheets/d/1MeEWN-I1oV_STSDYn1IFDPWt_1FKiwhDph83XaGc0o0/edit?usp=sharing"",""งบพรบ!CM70"")"),0)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IFERROR(__xludf.DUMMYFUNCTION("IMPORTRANGE(""https://docs.google.com/spreadsheets/d/1QqKyyYR6Q21VydFLVH3TRQUabQu_ym0Zz7PgGX0-kHA/edit?usp=sharing"",""แผน!Y70"")"),12)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208200</v>
      </c>
      <c r="M181" s="154">
        <f t="shared" ca="1" si="92"/>
        <v>208200</v>
      </c>
      <c r="N181" s="154">
        <f t="shared" ca="1" si="92"/>
        <v>178561.01</v>
      </c>
      <c r="O181" s="154">
        <f t="shared" ref="O181:O189" ca="1" si="93">IF(L181&gt;0,N181*100/L181,0)</f>
        <v>85.76417387127762</v>
      </c>
      <c r="P181" s="154">
        <f t="shared" ref="P181:P189" ca="1" si="94">IF(M181&gt;0,N181*100/M181,0)</f>
        <v>85.76417387127762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208200</v>
      </c>
      <c r="M183" s="45">
        <f t="shared" ca="1" si="95"/>
        <v>208200</v>
      </c>
      <c r="N183" s="45">
        <f t="shared" ca="1" si="95"/>
        <v>178561.01</v>
      </c>
      <c r="O183" s="45">
        <f t="shared" ca="1" si="93"/>
        <v>85.76417387127762</v>
      </c>
      <c r="P183" s="45">
        <f t="shared" ca="1" si="94"/>
        <v>85.76417387127762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208200</v>
      </c>
      <c r="M184" s="38">
        <f t="shared" ca="1" si="96"/>
        <v>208200</v>
      </c>
      <c r="N184" s="38">
        <f t="shared" ca="1" si="96"/>
        <v>178561.01</v>
      </c>
      <c r="O184" s="38">
        <f t="shared" ca="1" si="93"/>
        <v>85.76417387127762</v>
      </c>
      <c r="P184" s="38">
        <f t="shared" ca="1" si="94"/>
        <v>85.76417387127762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IFERROR(__xludf.DUMMYFUNCTION("IMPORTRANGE(""https://docs.google.com/spreadsheets/d/1MeEWN-I1oV_STSDYn1IFDPWt_1FKiwhDph83XaGc0o0/edit?usp=sharing"",""งบพรบ!CO70"")"),208200)</f>
        <v>208200</v>
      </c>
      <c r="M186" s="45">
        <f ca="1">IFERROR(__xludf.DUMMYFUNCTION("IMPORTRANGE(""https://docs.google.com/spreadsheets/d/1MeEWN-I1oV_STSDYn1IFDPWt_1FKiwhDph83XaGc0o0/edit?usp=sharing"",""งบพรบ!CT70"")"),208200)</f>
        <v>208200</v>
      </c>
      <c r="N186" s="45">
        <f ca="1">IFERROR(__xludf.DUMMYFUNCTION("IMPORTRANGE(""https://docs.google.com/spreadsheets/d/1MeEWN-I1oV_STSDYn1IFDPWt_1FKiwhDph83XaGc0o0/edit?usp=sharing"",""งบพรบ!CV70"")"),178561.01)</f>
        <v>178561.01</v>
      </c>
      <c r="O186" s="45">
        <f t="shared" ca="1" si="93"/>
        <v>85.76417387127762</v>
      </c>
      <c r="P186" s="45">
        <f t="shared" ca="1" si="94"/>
        <v>85.76417387127762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IFERROR(__xludf.DUMMYFUNCTION("IMPORTRANGE(""https://docs.google.com/spreadsheets/d/1MeEWN-I1oV_STSDYn1IFDPWt_1FKiwhDph83XaGc0o0/edit?usp=sharing"",""งบพรบ!CR70"")"),0)</f>
        <v>0</v>
      </c>
      <c r="M189" s="45">
        <f ca="1">IFERROR(__xludf.DUMMYFUNCTION("IMPORTRANGE(""https://docs.google.com/spreadsheets/d/1MeEWN-I1oV_STSDYn1IFDPWt_1FKiwhDph83XaGc0o0/edit?usp=sharing"",""งบพรบ!CU70"")"),0)</f>
        <v>0</v>
      </c>
      <c r="N189" s="45">
        <f ca="1">IFERROR(__xludf.DUMMYFUNCTION("IMPORTRANGE(""https://docs.google.com/spreadsheets/d/1MeEWN-I1oV_STSDYn1IFDPWt_1FKiwhDph83XaGc0o0/edit?usp=sharing"",""งบพรบ!CW70"")"),0)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IFERROR(__xludf.DUMMYFUNCTION("IMPORTRANGE(""https://docs.google.com/spreadsheets/d/1QqKyyYR6Q21VydFLVH3TRQUabQu_ym0Zz7PgGX0-kHA/edit?usp=sharing"",""แผน!Z70"")"),6000)</f>
        <v>6000</v>
      </c>
      <c r="M191" s="154"/>
      <c r="N191" s="264">
        <v>4400</v>
      </c>
      <c r="O191" s="154">
        <f ca="1">IF(L191&gt;0,N191*100/L191,0)</f>
        <v>73.333333333333329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IFERROR(__xludf.DUMMYFUNCTION("IMPORTRANGE(""https://docs.google.com/spreadsheets/d/1QqKyyYR6Q21VydFLVH3TRQUabQu_ym0Zz7PgGX0-kHA/edit?usp=sharing"",""แผน!AC70"")"),4)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38980</v>
      </c>
      <c r="O198" s="154">
        <f ca="1">IF(L198&gt;0,N198*100/L198,0)</f>
        <v>99.948717948717942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IFERROR(__xludf.DUMMYFUNCTION("IMPORTRANGE(""https://docs.google.com/spreadsheets/d/1QqKyyYR6Q21VydFLVH3TRQUabQu_ym0Zz7PgGX0-kHA/edit?usp=sharing"",""แผน!AE70"")"),3000)</f>
        <v>3000</v>
      </c>
      <c r="M199" s="38"/>
      <c r="N199" s="271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IFERROR(__xludf.DUMMYFUNCTION("IMPORTRANGE(""https://docs.google.com/spreadsheets/d/1QqKyyYR6Q21VydFLVH3TRQUabQu_ym0Zz7PgGX0-kHA/edit?usp=sharing"",""แผน!AF70"")"),24000)</f>
        <v>24000</v>
      </c>
      <c r="M200" s="38"/>
      <c r="N200" s="271">
        <v>23980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IFERROR(__xludf.DUMMYFUNCTION("IMPORTRANGE(""https://docs.google.com/spreadsheets/d/1QqKyyYR6Q21VydFLVH3TRQUabQu_ym0Zz7PgGX0-kHA/edit?usp=sharing"",""แผน!AG70"")"),12000)</f>
        <v>12000</v>
      </c>
      <c r="M201" s="38"/>
      <c r="N201" s="271">
        <v>12000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IFERROR(__xludf.DUMMYFUNCTION("IMPORTRANGE(""https://docs.google.com/spreadsheets/d/1QqKyyYR6Q21VydFLVH3TRQUabQu_ym0Zz7PgGX0-kHA/edit?usp=sharing"",""แผน!AH70"")"),0)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IFERROR(__xludf.DUMMYFUNCTION("IMPORTRANGE(""https://docs.google.com/spreadsheets/d/1QqKyyYR6Q21VydFLVH3TRQUabQu_ym0Zz7PgGX0-kHA/edit?usp=sharing"",""แผน!AI70"")"),3)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3</v>
      </c>
      <c r="J206" s="546">
        <v>3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IFERROR(__xludf.DUMMYFUNCTION("IMPORTRANGE(""https://docs.google.com/spreadsheets/d/1QqKyyYR6Q21VydFLVH3TRQUabQu_ym0Zz7PgGX0-kHA/edit?usp=sharing"",""แผน!AK70"")"),0)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IFERROR(__xludf.DUMMYFUNCTION("IMPORTRANGE(""https://docs.google.com/spreadsheets/d/1QqKyyYR6Q21VydFLVH3TRQUabQu_ym0Zz7PgGX0-kHA/edit?usp=sharing"",""แผน!AL70"")"),0)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IFERROR(__xludf.DUMMYFUNCTION("IMPORTRANGE(""https://docs.google.com/spreadsheets/d/1QqKyyYR6Q21VydFLVH3TRQUabQu_ym0Zz7PgGX0-kHA/edit?usp=sharing"",""แผน!AM70"")"),0)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IFERROR(__xludf.DUMMYFUNCTION("IMPORTRANGE(""https://docs.google.com/spreadsheets/d/1QqKyyYR6Q21VydFLVH3TRQUabQu_ym0Zz7PgGX0-kHA/edit?usp=sharing"",""แผน!AN70"")"),0)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IFERROR(__xludf.DUMMYFUNCTION("IMPORTRANGE(""https://docs.google.com/spreadsheets/d/1QqKyyYR6Q21VydFLVH3TRQUabQu_ym0Zz7PgGX0-kHA/edit?usp=sharing"",""แผน!AN70"")"),0)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2">I224</f>
        <v>20000</v>
      </c>
      <c r="J216" s="260">
        <f t="shared" si="102"/>
        <v>20000</v>
      </c>
      <c r="K216" s="261">
        <f t="shared" ca="1" si="101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18000</v>
      </c>
      <c r="M217" s="154"/>
      <c r="N217" s="154">
        <f>N218+N219+N220</f>
        <v>13000</v>
      </c>
      <c r="O217" s="154">
        <f ca="1">IF(L217&gt;0,N217*100/L217,0)</f>
        <v>72.222222222222229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IFERROR(__xludf.DUMMYFUNCTION("IMPORTRANGE(""https://docs.google.com/spreadsheets/d/1QqKyyYR6Q21VydFLVH3TRQUabQu_ym0Zz7PgGX0-kHA/edit?usp=sharing"",""แผน!AP70"")"),3000)</f>
        <v>3000</v>
      </c>
      <c r="M218" s="38"/>
      <c r="N218" s="271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IFERROR(__xludf.DUMMYFUNCTION("IMPORTRANGE(""https://docs.google.com/spreadsheets/d/1QqKyyYR6Q21VydFLVH3TRQUabQu_ym0Zz7PgGX0-kHA/edit?usp=sharing"",""แผน!AQ70"")"),5000)</f>
        <v>5000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IFERROR(__xludf.DUMMYFUNCTION("IMPORTRANGE(""https://docs.google.com/spreadsheets/d/1QqKyyYR6Q21VydFLVH3TRQUabQu_ym0Zz7PgGX0-kHA/edit?usp=sharing"",""แผน!AR70"")"),10000)</f>
        <v>10000</v>
      </c>
      <c r="M220" s="38"/>
      <c r="N220" s="271">
        <v>10000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IFERROR(__xludf.DUMMYFUNCTION("IMPORTRANGE(""https://docs.google.com/spreadsheets/d/1QqKyyYR6Q21VydFLVH3TRQUabQu_ym0Zz7PgGX0-kHA/edit?usp=sharing"",""แผน!AT70"")"),20000)</f>
        <v>20000</v>
      </c>
      <c r="J223" s="181">
        <v>20000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IFERROR(__xludf.DUMMYFUNCTION("IMPORTRANGE(""https://docs.google.com/spreadsheets/d/1QqKyyYR6Q21VydFLVH3TRQUabQu_ym0Zz7PgGX0-kHA/edit?usp=sharing"",""แผน!AT70"")"),20000)</f>
        <v>20000</v>
      </c>
      <c r="J224" s="181">
        <v>20000</v>
      </c>
      <c r="K224" s="162">
        <f t="shared" ca="1" si="103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IFERROR(__xludf.DUMMYFUNCTION("IMPORTRANGE(""https://docs.google.com/spreadsheets/d/1QqKyyYR6Q21VydFLVH3TRQUabQu_ym0Zz7PgGX0-kHA/edit?usp=sharing"",""แผน!AS70"")"),10)</f>
        <v>10</v>
      </c>
      <c r="J225" s="181">
        <v>10</v>
      </c>
      <c r="K225" s="162">
        <f t="shared" ca="1" si="103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0</v>
      </c>
      <c r="J226" s="330">
        <f t="shared" si="104"/>
        <v>0</v>
      </c>
      <c r="K226" s="331">
        <f t="shared" ca="1" si="103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0</v>
      </c>
      <c r="M227" s="341"/>
      <c r="N227" s="341">
        <f t="shared" ref="N227:N231" si="106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0</v>
      </c>
      <c r="M228" s="45"/>
      <c r="N228" s="45">
        <f t="shared" si="106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0</v>
      </c>
      <c r="M229" s="45"/>
      <c r="N229" s="45">
        <f t="shared" si="106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0</v>
      </c>
      <c r="M230" s="45"/>
      <c r="N230" s="45">
        <f t="shared" si="106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0</v>
      </c>
      <c r="M231" s="45"/>
      <c r="N231" s="45">
        <f t="shared" si="106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0</v>
      </c>
      <c r="J233" s="44">
        <f t="shared" si="107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0</v>
      </c>
      <c r="J235" s="44">
        <f t="shared" si="108"/>
        <v>0</v>
      </c>
      <c r="K235" s="45">
        <f t="shared" ref="K235:K237" si="109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0</v>
      </c>
      <c r="J236" s="44">
        <f t="shared" si="108"/>
        <v>0</v>
      </c>
      <c r="K236" s="45">
        <f t="shared" si="109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0</v>
      </c>
      <c r="J237" s="260">
        <f t="shared" si="110"/>
        <v>0</v>
      </c>
      <c r="K237" s="261">
        <f t="shared" ca="1" si="109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IFERROR(__xludf.DUMMYFUNCTION("IMPORTRANGE(""https://docs.google.com/spreadsheets/d/1QqKyyYR6Q21VydFLVH3TRQUabQu_ym0Zz7PgGX0-kHA/edit?usp=sharing"",""แผน!AV70"")"),0)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IFERROR(__xludf.DUMMYFUNCTION("IMPORTRANGE(""https://docs.google.com/spreadsheets/d/1QqKyyYR6Q21VydFLVH3TRQUabQu_ym0Zz7PgGX0-kHA/edit?usp=sharing"",""แผน!AW70"")"),0)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IFERROR(__xludf.DUMMYFUNCTION("IMPORTRANGE(""https://docs.google.com/spreadsheets/d/1QqKyyYR6Q21VydFLVH3TRQUabQu_ym0Zz7PgGX0-kHA/edit?usp=sharing"",""แผน!AX70"")"),0)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IFERROR(__xludf.DUMMYFUNCTION("IMPORTRANGE(""https://docs.google.com/spreadsheets/d/1QqKyyYR6Q21VydFLVH3TRQUabQu_ym0Zz7PgGX0-kHA/edit?usp=sharing"",""แผน!AY70"")"),0)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IFERROR(__xludf.DUMMYFUNCTION("IMPORTRANGE(""https://docs.google.com/spreadsheets/d/1QqKyyYR6Q21VydFLVH3TRQUabQu_ym0Zz7PgGX0-kHA/edit?usp=sharing"",""แผน!BE70"")"),0)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1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1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IFERROR(__xludf.DUMMYFUNCTION("IMPORTRANGE(""https://docs.google.com/spreadsheets/d/1QqKyyYR6Q21VydFLVH3TRQUabQu_ym0Zz7PgGX0-kHA/edit?usp=sharing"",""แผน!AZ70"")"),0)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IFERROR(__xludf.DUMMYFUNCTION("IMPORTRANGE(""https://docs.google.com/spreadsheets/d/1QqKyyYR6Q21VydFLVH3TRQUabQu_ym0Zz7PgGX0-kHA/edit?usp=sharing"",""แผน!BA70"")"),0)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IFERROR(__xludf.DUMMYFUNCTION("IMPORTRANGE(""https://docs.google.com/spreadsheets/d/1QqKyyYR6Q21VydFLVH3TRQUabQu_ym0Zz7PgGX0-kHA/edit?usp=sharing"",""แผน!BB70"")"),0)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IFERROR(__xludf.DUMMYFUNCTION("IMPORTRANGE(""https://docs.google.com/spreadsheets/d/1QqKyyYR6Q21VydFLVH3TRQUabQu_ym0Zz7PgGX0-kHA/edit?usp=sharing"",""แผน!BC70"")"),0)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22</v>
      </c>
      <c r="J260" s="242">
        <f t="shared" si="114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26900</v>
      </c>
      <c r="M261" s="154">
        <f t="shared" ca="1" si="115"/>
        <v>26900</v>
      </c>
      <c r="N261" s="154">
        <f t="shared" ca="1" si="115"/>
        <v>19400</v>
      </c>
      <c r="O261" s="154">
        <f t="shared" ref="O261:O269" ca="1" si="116">IF(L261&gt;0,N261*100/L261,0)</f>
        <v>72.118959107806688</v>
      </c>
      <c r="P261" s="154">
        <f t="shared" ref="P261:P269" ca="1" si="117">IF(M261&gt;0,N261*100/M261,0)</f>
        <v>72.118959107806688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26900</v>
      </c>
      <c r="M263" s="45">
        <f t="shared" ca="1" si="118"/>
        <v>26900</v>
      </c>
      <c r="N263" s="45">
        <f t="shared" ca="1" si="118"/>
        <v>19400</v>
      </c>
      <c r="O263" s="45">
        <f t="shared" ca="1" si="116"/>
        <v>72.118959107806688</v>
      </c>
      <c r="P263" s="45">
        <f t="shared" ca="1" si="117"/>
        <v>72.118959107806688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26900</v>
      </c>
      <c r="M264" s="38">
        <f t="shared" ca="1" si="119"/>
        <v>26900</v>
      </c>
      <c r="N264" s="38">
        <f t="shared" ca="1" si="119"/>
        <v>19400</v>
      </c>
      <c r="O264" s="38">
        <f t="shared" ca="1" si="116"/>
        <v>72.118959107806688</v>
      </c>
      <c r="P264" s="38">
        <f t="shared" ca="1" si="117"/>
        <v>72.118959107806688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IFERROR(__xludf.DUMMYFUNCTION("IMPORTRANGE(""https://docs.google.com/spreadsheets/d/1MeEWN-I1oV_STSDYn1IFDPWt_1FKiwhDph83XaGc0o0/edit?usp=sharing"",""งบพรบ!CY70"")"),26900)</f>
        <v>26900</v>
      </c>
      <c r="M266" s="45">
        <f ca="1">IFERROR(__xludf.DUMMYFUNCTION("IMPORTRANGE(""https://docs.google.com/spreadsheets/d/1MeEWN-I1oV_STSDYn1IFDPWt_1FKiwhDph83XaGc0o0/edit?usp=sharing"",""งบพรบ!DD70"")"),26900)</f>
        <v>26900</v>
      </c>
      <c r="N266" s="45">
        <f ca="1">IFERROR(__xludf.DUMMYFUNCTION("IMPORTRANGE(""https://docs.google.com/spreadsheets/d/1MeEWN-I1oV_STSDYn1IFDPWt_1FKiwhDph83XaGc0o0/edit?usp=sharing"",""งบพรบ!DF70"")"),19400)</f>
        <v>19400</v>
      </c>
      <c r="O266" s="45">
        <f t="shared" ca="1" si="116"/>
        <v>72.118959107806688</v>
      </c>
      <c r="P266" s="45">
        <f t="shared" ca="1" si="117"/>
        <v>72.118959107806688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IFERROR(__xludf.DUMMYFUNCTION("IMPORTRANGE(""https://docs.google.com/spreadsheets/d/1MeEWN-I1oV_STSDYn1IFDPWt_1FKiwhDph83XaGc0o0/edit?usp=sharing"",""งบพรบ!DB70"")"),0)</f>
        <v>0</v>
      </c>
      <c r="M269" s="45">
        <f ca="1">IFERROR(__xludf.DUMMYFUNCTION("IMPORTRANGE(""https://docs.google.com/spreadsheets/d/1MeEWN-I1oV_STSDYn1IFDPWt_1FKiwhDph83XaGc0o0/edit?usp=sharing"",""งบพรบ!DE70"")"),0)</f>
        <v>0</v>
      </c>
      <c r="N269" s="45">
        <f ca="1">IFERROR(__xludf.DUMMYFUNCTION("IMPORTRANGE(""https://docs.google.com/spreadsheets/d/1MeEWN-I1oV_STSDYn1IFDPWt_1FKiwhDph83XaGc0o0/edit?usp=sharing"",""งบพรบ!DG70"")"),0)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IFERROR(__xludf.DUMMYFUNCTION("IMPORTRANGE(""https://docs.google.com/spreadsheets/d/1QqKyyYR6Q21VydFLVH3TRQUabQu_ym0Zz7PgGX0-kHA/edit?usp=sharing"",""แผน!EA70"")"),22)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3">I287</f>
        <v>0</v>
      </c>
      <c r="J276" s="81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IFERROR(__xludf.DUMMYFUNCTION("IMPORTRANGE(""https://docs.google.com/spreadsheets/d/1MeEWN-I1oV_STSDYn1IFDPWt_1FKiwhDph83XaGc0o0/edit?usp=sharing"",""งบพรบ!DI70"")"),0)</f>
        <v>0</v>
      </c>
      <c r="M282" s="45">
        <f ca="1">IFERROR(__xludf.DUMMYFUNCTION("IMPORTRANGE(""https://docs.google.com/spreadsheets/d/1MeEWN-I1oV_STSDYn1IFDPWt_1FKiwhDph83XaGc0o0/edit?usp=sharing"",""งบพรบ!DN70"")"),0)</f>
        <v>0</v>
      </c>
      <c r="N282" s="45">
        <f ca="1">IFERROR(__xludf.DUMMYFUNCTION("IMPORTRANGE(""https://docs.google.com/spreadsheets/d/1MeEWN-I1oV_STSDYn1IFDPWt_1FKiwhDph83XaGc0o0/edit?usp=sharing"",""งบพรบ!DP70"")"),0)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IFERROR(__xludf.DUMMYFUNCTION("IMPORTRANGE(""https://docs.google.com/spreadsheets/d/1MeEWN-I1oV_STSDYn1IFDPWt_1FKiwhDph83XaGc0o0/edit?usp=sharing"",""งบพรบ!DL70"")"),0)</f>
        <v>0</v>
      </c>
      <c r="M285" s="45">
        <f ca="1">IFERROR(__xludf.DUMMYFUNCTION("IMPORTRANGE(""https://docs.google.com/spreadsheets/d/1MeEWN-I1oV_STSDYn1IFDPWt_1FKiwhDph83XaGc0o0/edit?usp=sharing"",""งบพรบ!DO70"")"),0)</f>
        <v>0</v>
      </c>
      <c r="N285" s="45">
        <f ca="1">IFERROR(__xludf.DUMMYFUNCTION("IMPORTRANGE(""https://docs.google.com/spreadsheets/d/1MeEWN-I1oV_STSDYn1IFDPWt_1FKiwhDph83XaGc0o0/edit?usp=sharing"",""งบพรบ!DQ70"")"),0)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IFERROR(__xludf.DUMMYFUNCTION("IMPORTRANGE(""https://docs.google.com/spreadsheets/d/1QqKyyYR6Q21VydFLVH3TRQUabQu_ym0Zz7PgGX0-kHA/edit?usp=sharing"",""แผน!EC70"")"),0)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IFERROR(__xludf.DUMMYFUNCTION("IMPORTRANGE(""https://docs.google.com/spreadsheets/d/1QqKyyYR6Q21VydFLVH3TRQUabQu_ym0Zz7PgGX0-kHA/edit?usp=sharing"",""แผน!EB70"")"),0)</f>
        <v>0</v>
      </c>
      <c r="J288" s="190">
        <f ca="1">IF(AND(J291&gt;=I288,J294&gt;=I288),J294,0)</f>
        <v>0</v>
      </c>
      <c r="K288" s="390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IFERROR(__xludf.DUMMYFUNCTION("IMPORTRANGE(""https://docs.google.com/spreadsheets/d/1QqKyyYR6Q21VydFLVH3TRQUabQu_ym0Zz7PgGX0-kHA/edit?usp=sharing"",""แผน!EB70"")"),0)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IFERROR(__xludf.DUMMYFUNCTION("IMPORTRANGE(""https://docs.google.com/spreadsheets/d/1QqKyyYR6Q21VydFLVH3TRQUabQu_ym0Zz7PgGX0-kHA/edit?usp=sharing"",""แผน!EB70"")"),0)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IFERROR(__xludf.DUMMYFUNCTION("IMPORTRANGE(""https://docs.google.com/spreadsheets/d/1QqKyyYR6Q21VydFLVH3TRQUabQu_ym0Zz7PgGX0-kHA/edit?usp=sharing"",""แผน!EB70"")"),0)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IFERROR(__xludf.DUMMYFUNCTION("IMPORTRANGE(""https://docs.google.com/spreadsheets/d/1QqKyyYR6Q21VydFLVH3TRQUabQu_ym0Zz7PgGX0-kHA/edit?usp=sharing"",""แผน!EB70"")"),0)</f>
        <v>0</v>
      </c>
      <c r="J294" s="401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25</v>
      </c>
      <c r="J297" s="421">
        <f t="shared" si="133"/>
        <v>25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244000</v>
      </c>
      <c r="M298" s="154">
        <f t="shared" ca="1" si="134"/>
        <v>244000</v>
      </c>
      <c r="N298" s="154">
        <f t="shared" ca="1" si="134"/>
        <v>215595</v>
      </c>
      <c r="O298" s="154">
        <f t="shared" ref="O298:O306" ca="1" si="135">IF(L298&gt;0,N298*100/L298,0)</f>
        <v>88.358606557377044</v>
      </c>
      <c r="P298" s="154">
        <f t="shared" ref="P298:P306" ca="1" si="136">IF(M298&gt;0,N298*100/M298,0)</f>
        <v>88.358606557377044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244000</v>
      </c>
      <c r="M300" s="45">
        <f t="shared" ca="1" si="137"/>
        <v>244000</v>
      </c>
      <c r="N300" s="45">
        <f t="shared" ca="1" si="137"/>
        <v>215595</v>
      </c>
      <c r="O300" s="45">
        <f t="shared" ca="1" si="135"/>
        <v>88.358606557377044</v>
      </c>
      <c r="P300" s="45">
        <f t="shared" ca="1" si="136"/>
        <v>88.358606557377044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244000</v>
      </c>
      <c r="M301" s="38">
        <f t="shared" ca="1" si="138"/>
        <v>244000</v>
      </c>
      <c r="N301" s="38">
        <f t="shared" ca="1" si="138"/>
        <v>215595</v>
      </c>
      <c r="O301" s="38">
        <f t="shared" ca="1" si="135"/>
        <v>88.358606557377044</v>
      </c>
      <c r="P301" s="38">
        <f t="shared" ca="1" si="136"/>
        <v>88.358606557377044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IFERROR(__xludf.DUMMYFUNCTION("IMPORTRANGE(""https://docs.google.com/spreadsheets/d/1MeEWN-I1oV_STSDYn1IFDPWt_1FKiwhDph83XaGc0o0/edit?usp=sharing"",""งบพรบ!DS70"")"),244000)</f>
        <v>244000</v>
      </c>
      <c r="M303" s="45">
        <f ca="1">IFERROR(__xludf.DUMMYFUNCTION("IMPORTRANGE(""https://docs.google.com/spreadsheets/d/1MeEWN-I1oV_STSDYn1IFDPWt_1FKiwhDph83XaGc0o0/edit?usp=sharing"",""งบพรบ!DX70"")"),244000)</f>
        <v>244000</v>
      </c>
      <c r="N303" s="45">
        <f ca="1">IFERROR(__xludf.DUMMYFUNCTION("IMPORTRANGE(""https://docs.google.com/spreadsheets/d/1MeEWN-I1oV_STSDYn1IFDPWt_1FKiwhDph83XaGc0o0/edit?usp=sharing"",""งบพรบ!DZ70"")"),215595)</f>
        <v>215595</v>
      </c>
      <c r="O303" s="45">
        <f t="shared" ca="1" si="135"/>
        <v>88.358606557377044</v>
      </c>
      <c r="P303" s="45">
        <f t="shared" ca="1" si="136"/>
        <v>88.358606557377044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IFERROR(__xludf.DUMMYFUNCTION("IMPORTRANGE(""https://docs.google.com/spreadsheets/d/1MeEWN-I1oV_STSDYn1IFDPWt_1FKiwhDph83XaGc0o0/edit?usp=sharing"",""งบพรบ!DV70"")"),0)</f>
        <v>0</v>
      </c>
      <c r="M306" s="45">
        <f ca="1">IFERROR(__xludf.DUMMYFUNCTION("IMPORTRANGE(""https://docs.google.com/spreadsheets/d/1MeEWN-I1oV_STSDYn1IFDPWt_1FKiwhDph83XaGc0o0/edit?usp=sharing"",""งบพรบ!DY70"")"),0)</f>
        <v>0</v>
      </c>
      <c r="N306" s="45">
        <f ca="1">IFERROR(__xludf.DUMMYFUNCTION("IMPORTRANGE(""https://docs.google.com/spreadsheets/d/1MeEWN-I1oV_STSDYn1IFDPWt_1FKiwhDph83XaGc0o0/edit?usp=sharing"",""งบพรบ!EA70"")"),0)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IFERROR(__xludf.DUMMYFUNCTION("IMPORTRANGE(""https://docs.google.com/spreadsheets/d/1QqKyyYR6Q21VydFLVH3TRQUabQu_ym0Zz7PgGX0-kHA/edit?usp=sharing"",""แผน!ED70"")"),25)</f>
        <v>25</v>
      </c>
      <c r="J309" s="181">
        <v>25</v>
      </c>
      <c r="K309" s="38">
        <f t="shared" ref="K309:K312" ca="1" si="140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IFERROR(__xludf.DUMMYFUNCTION("IMPORTRANGE(""https://docs.google.com/spreadsheets/d/1QqKyyYR6Q21VydFLVH3TRQUabQu_ym0Zz7PgGX0-kHA/edit?usp=sharing"",""แผน!ED70"")"),25)</f>
        <v>25</v>
      </c>
      <c r="J310" s="181">
        <v>25</v>
      </c>
      <c r="K310" s="38">
        <f t="shared" ca="1" si="140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IFERROR(__xludf.DUMMYFUNCTION("IMPORTRANGE(""https://docs.google.com/spreadsheets/d/1QqKyyYR6Q21VydFLVH3TRQUabQu_ym0Zz7PgGX0-kHA/edit?usp=sharing"",""แผน!ED70"")"),25)</f>
        <v>25</v>
      </c>
      <c r="J311" s="181">
        <v>25</v>
      </c>
      <c r="K311" s="38">
        <f t="shared" ca="1" si="140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IFERROR(__xludf.DUMMYFUNCTION("IMPORTRANGE(""https://docs.google.com/spreadsheets/d/1QqKyyYR6Q21VydFLVH3TRQUabQu_ym0Zz7PgGX0-kHA/edit?usp=sharing"",""แผน!EE70"")"),5)</f>
        <v>5</v>
      </c>
      <c r="J312" s="181">
        <v>5</v>
      </c>
      <c r="K312" s="38">
        <f t="shared" ca="1" si="140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IFERROR(__xludf.DUMMYFUNCTION("IMPORTRANGE(""https://docs.google.com/spreadsheets/d/1MeEWN-I1oV_STSDYn1IFDPWt_1FKiwhDph83XaGc0o0/edit?usp=sharing"",""งบพรบ!EC70"")"),0)</f>
        <v>0</v>
      </c>
      <c r="M320" s="45">
        <f ca="1">IFERROR(__xludf.DUMMYFUNCTION("IMPORTRANGE(""https://docs.google.com/spreadsheets/d/1MeEWN-I1oV_STSDYn1IFDPWt_1FKiwhDph83XaGc0o0/edit?usp=sharing"",""งบพรบ!EH70"")"),0)</f>
        <v>0</v>
      </c>
      <c r="N320" s="45">
        <f ca="1">IFERROR(__xludf.DUMMYFUNCTION("IMPORTRANGE(""https://docs.google.com/spreadsheets/d/1MeEWN-I1oV_STSDYn1IFDPWt_1FKiwhDph83XaGc0o0/edit?usp=sharing"",""งบพรบ!EJ70"")"),0)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IFERROR(__xludf.DUMMYFUNCTION("IMPORTRANGE(""https://docs.google.com/spreadsheets/d/1MeEWN-I1oV_STSDYn1IFDPWt_1FKiwhDph83XaGc0o0/edit?usp=sharing"",""งบพรบ!EF70"")"),0)</f>
        <v>0</v>
      </c>
      <c r="M323" s="45">
        <f ca="1">IFERROR(__xludf.DUMMYFUNCTION("IMPORTRANGE(""https://docs.google.com/spreadsheets/d/1MeEWN-I1oV_STSDYn1IFDPWt_1FKiwhDph83XaGc0o0/edit?usp=sharing"",""งบพรบ!EI70"")"),0)</f>
        <v>0</v>
      </c>
      <c r="N323" s="45">
        <f ca="1">IFERROR(__xludf.DUMMYFUNCTION("IMPORTRANGE(""https://docs.google.com/spreadsheets/d/1MeEWN-I1oV_STSDYn1IFDPWt_1FKiwhDph83XaGc0o0/edit?usp=sharing"",""งบพรบ!EK70"")"),0)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IFERROR(__xludf.DUMMYFUNCTION("IMPORTRANGE(""https://docs.google.com/spreadsheets/d/1QqKyyYR6Q21VydFLVH3TRQUabQu_ym0Zz7PgGX0-kHA/edit?usp=sharing"",""แผน!EG70"")"),1500)</f>
        <v>1500</v>
      </c>
      <c r="J327" s="421">
        <f ca="1">J338+J341+J342+J343</f>
        <v>2205</v>
      </c>
      <c r="K327" s="422">
        <f ca="1">IF(I327&gt;0,J327*100/I327,0)</f>
        <v>147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426800</v>
      </c>
      <c r="M328" s="154">
        <f t="shared" ca="1" si="148"/>
        <v>429300</v>
      </c>
      <c r="N328" s="154">
        <f t="shared" ca="1" si="148"/>
        <v>368409.17</v>
      </c>
      <c r="O328" s="154">
        <f t="shared" ref="O328:O336" ca="1" si="149">IF(L328&gt;0,N328*100/L328,0)</f>
        <v>86.318924554826623</v>
      </c>
      <c r="P328" s="154">
        <f t="shared" ref="P328:P336" ca="1" si="150">IF(M328&gt;0,N328*100/M328,0)</f>
        <v>85.816252038201725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426800</v>
      </c>
      <c r="M330" s="45">
        <f t="shared" ca="1" si="151"/>
        <v>429300</v>
      </c>
      <c r="N330" s="45">
        <f t="shared" ca="1" si="151"/>
        <v>368409.17</v>
      </c>
      <c r="O330" s="45">
        <f t="shared" ca="1" si="149"/>
        <v>86.318924554826623</v>
      </c>
      <c r="P330" s="45">
        <f t="shared" ca="1" si="150"/>
        <v>85.816252038201725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426800</v>
      </c>
      <c r="M331" s="38">
        <f t="shared" ca="1" si="152"/>
        <v>429300</v>
      </c>
      <c r="N331" s="38">
        <f t="shared" ca="1" si="152"/>
        <v>368409.17</v>
      </c>
      <c r="O331" s="38">
        <f t="shared" ca="1" si="149"/>
        <v>86.318924554826623</v>
      </c>
      <c r="P331" s="38">
        <f t="shared" ca="1" si="150"/>
        <v>85.816252038201725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IFERROR(__xludf.DUMMYFUNCTION("IMPORTRANGE(""https://docs.google.com/spreadsheets/d/1MeEWN-I1oV_STSDYn1IFDPWt_1FKiwhDph83XaGc0o0/edit?usp=sharing"",""งบพรบ!EM70"")"),426800)</f>
        <v>426800</v>
      </c>
      <c r="M333" s="45">
        <f ca="1">IFERROR(__xludf.DUMMYFUNCTION("IMPORTRANGE(""https://docs.google.com/spreadsheets/d/1MeEWN-I1oV_STSDYn1IFDPWt_1FKiwhDph83XaGc0o0/edit?usp=sharing"",""งบพรบ!ER70"")"),429300)</f>
        <v>429300</v>
      </c>
      <c r="N333" s="45">
        <f ca="1">IFERROR(__xludf.DUMMYFUNCTION("IMPORTRANGE(""https://docs.google.com/spreadsheets/d/1MeEWN-I1oV_STSDYn1IFDPWt_1FKiwhDph83XaGc0o0/edit?usp=sharing"",""งบพรบ!ET70"")"),368409.17)</f>
        <v>368409.17</v>
      </c>
      <c r="O333" s="45">
        <f t="shared" ca="1" si="149"/>
        <v>86.318924554826623</v>
      </c>
      <c r="P333" s="45">
        <f t="shared" ca="1" si="150"/>
        <v>85.816252038201725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IFERROR(__xludf.DUMMYFUNCTION("IMPORTRANGE(""https://docs.google.com/spreadsheets/d/1MeEWN-I1oV_STSDYn1IFDPWt_1FKiwhDph83XaGc0o0/edit?usp=sharing"",""งบพรบ!EP70"")"),0)</f>
        <v>0</v>
      </c>
      <c r="M336" s="45">
        <f ca="1">IFERROR(__xludf.DUMMYFUNCTION("IMPORTRANGE(""https://docs.google.com/spreadsheets/d/1MeEWN-I1oV_STSDYn1IFDPWt_1FKiwhDph83XaGc0o0/edit?usp=sharing"",""งบพรบ!ES70"")"),0)</f>
        <v>0</v>
      </c>
      <c r="N336" s="45">
        <f ca="1">IFERROR(__xludf.DUMMYFUNCTION("IMPORTRANGE(""https://docs.google.com/spreadsheets/d/1MeEWN-I1oV_STSDYn1IFDPWt_1FKiwhDph83XaGc0o0/edit?usp=sharing"",""งบพรบ!EU70"")"),0)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IFERROR(__xludf.DUMMYFUNCTION("IMPORTRANGE(""https://docs.google.com/spreadsheets/d/1QqKyyYR6Q21VydFLVH3TRQUabQu_ym0Zz7PgGX0-kHA/edit?usp=sharing"",""แผน!EG70"")"),1500)</f>
        <v>1500</v>
      </c>
      <c r="J338" s="37">
        <f ca="1">IFERROR(__xludf.DUMMYFUNCTION("IMPORTRANGE(""https://docs.google.com/spreadsheets/d/1kVcqe37tkHyjCSG3S0O1AXqVkqjo8mSIZil3BcpIysc/edit?usp=sharing"",""ศูนย์!D70"")"),1869)</f>
        <v>1869</v>
      </c>
      <c r="K338" s="38">
        <f ca="1">IF(I338&gt;0,J338*100/I338,0)</f>
        <v>124.6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IFERROR(__xludf.DUMMYFUNCTION("IMPORTRANGE(""https://docs.google.com/spreadsheets/d/1QqKyyYR6Q21VydFLVH3TRQUabQu_ym0Zz7PgGX0-kHA/edit?usp=sharing"",""แผน!EH70"")"),3)</f>
        <v>3</v>
      </c>
      <c r="J340" s="37">
        <f ca="1">IFERROR(__xludf.DUMMYFUNCTION("IMPORTRANGE(""https://docs.google.com/spreadsheets/d/1kVcqe37tkHyjCSG3S0O1AXqVkqjo8mSIZil3BcpIysc/edit?usp=sharing"",""ศูนย์!E70"")"),3)</f>
        <v>3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IFERROR(__xludf.DUMMYFUNCTION("IMPORTRANGE(""https://docs.google.com/spreadsheets/d/1kVcqe37tkHyjCSG3S0O1AXqVkqjo8mSIZil3BcpIysc/edit?usp=sharing"",""ศูนย์!F70"")"),336)</f>
        <v>336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IFERROR(__xludf.DUMMYFUNCTION("IMPORTRANGE(""https://docs.google.com/spreadsheets/d/1kVcqe37tkHyjCSG3S0O1AXqVkqjo8mSIZil3BcpIysc/edit?usp=sharing"",""ศูนย์!G70"")"),0)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IFERROR(__xludf.DUMMYFUNCTION("IMPORTRANGE(""https://docs.google.com/spreadsheets/d/1kVcqe37tkHyjCSG3S0O1AXqVkqjo8mSIZil3BcpIysc/edit?usp=sharing"",""ศูนย์!H70"")"),0)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790000</v>
      </c>
      <c r="M345" s="154">
        <f t="shared" ca="1" si="154"/>
        <v>843080</v>
      </c>
      <c r="N345" s="154">
        <f t="shared" ca="1" si="154"/>
        <v>668534.87</v>
      </c>
      <c r="O345" s="154">
        <f t="shared" ref="O345:O353" ca="1" si="155">IF(L345&gt;0,N345*100/L345,0)</f>
        <v>84.624667088607595</v>
      </c>
      <c r="P345" s="154">
        <f t="shared" ref="P345:P353" ca="1" si="156">IF(M345&gt;0,N345*100/M345,0)</f>
        <v>79.296729847701286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790000</v>
      </c>
      <c r="M347" s="45">
        <f t="shared" ca="1" si="157"/>
        <v>843080</v>
      </c>
      <c r="N347" s="45">
        <f t="shared" ca="1" si="157"/>
        <v>668534.87</v>
      </c>
      <c r="O347" s="45">
        <f t="shared" ca="1" si="155"/>
        <v>84.624667088607595</v>
      </c>
      <c r="P347" s="45">
        <f t="shared" ca="1" si="156"/>
        <v>79.296729847701286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676200</v>
      </c>
      <c r="M348" s="38">
        <f t="shared" ca="1" si="158"/>
        <v>729280</v>
      </c>
      <c r="N348" s="38">
        <f t="shared" ca="1" si="158"/>
        <v>554734.87</v>
      </c>
      <c r="O348" s="38">
        <f t="shared" ca="1" si="155"/>
        <v>82.037099970422958</v>
      </c>
      <c r="P348" s="38">
        <f t="shared" ca="1" si="156"/>
        <v>76.066102182974987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IFERROR(__xludf.DUMMYFUNCTION("IMPORTRANGE(""https://docs.google.com/spreadsheets/d/1MeEWN-I1oV_STSDYn1IFDPWt_1FKiwhDph83XaGc0o0/edit?usp=sharing"",""งบพรบ!EW70"")"),676200)</f>
        <v>676200</v>
      </c>
      <c r="M350" s="45">
        <f ca="1">IFERROR(__xludf.DUMMYFUNCTION("IMPORTRANGE(""https://docs.google.com/spreadsheets/d/1MeEWN-I1oV_STSDYn1IFDPWt_1FKiwhDph83XaGc0o0/edit?usp=sharing"",""งบพรบ!FB70"")"),729280)</f>
        <v>729280</v>
      </c>
      <c r="N350" s="45">
        <f ca="1">IFERROR(__xludf.DUMMYFUNCTION("IMPORTRANGE(""https://docs.google.com/spreadsheets/d/1MeEWN-I1oV_STSDYn1IFDPWt_1FKiwhDph83XaGc0o0/edit?usp=sharing"",""งบพรบ!FD70"")"),554734.87)</f>
        <v>554734.87</v>
      </c>
      <c r="O350" s="45">
        <f t="shared" ca="1" si="155"/>
        <v>82.037099970422958</v>
      </c>
      <c r="P350" s="45">
        <f t="shared" ca="1" si="156"/>
        <v>76.066102182974987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113800</v>
      </c>
      <c r="M351" s="38">
        <f t="shared" ca="1" si="159"/>
        <v>113800</v>
      </c>
      <c r="N351" s="38">
        <f t="shared" ca="1" si="159"/>
        <v>113800</v>
      </c>
      <c r="O351" s="38">
        <f t="shared" ca="1" si="155"/>
        <v>100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IFERROR(__xludf.DUMMYFUNCTION("IMPORTRANGE(""https://docs.google.com/spreadsheets/d/1MeEWN-I1oV_STSDYn1IFDPWt_1FKiwhDph83XaGc0o0/edit?usp=sharing"",""งบพรบ!EZ70"")"),113800)</f>
        <v>113800</v>
      </c>
      <c r="M353" s="45">
        <f ca="1">IFERROR(__xludf.DUMMYFUNCTION("IMPORTRANGE(""https://docs.google.com/spreadsheets/d/1MeEWN-I1oV_STSDYn1IFDPWt_1FKiwhDph83XaGc0o0/edit?usp=sharing"",""งบพรบ!FC70"")"),113800)</f>
        <v>113800</v>
      </c>
      <c r="N353" s="45">
        <f ca="1">IFERROR(__xludf.DUMMYFUNCTION("IMPORTRANGE(""https://docs.google.com/spreadsheets/d/1MeEWN-I1oV_STSDYn1IFDPWt_1FKiwhDph83XaGc0o0/edit?usp=sharing"",""งบพรบ!FE70"")"),113800)</f>
        <v>113800</v>
      </c>
      <c r="O353" s="45">
        <f t="shared" ca="1" si="155"/>
        <v>100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IFERROR(__xludf.DUMMYFUNCTION("IMPORTRANGE(""https://docs.google.com/spreadsheets/d/1QqKyyYR6Q21VydFLVH3TRQUabQu_ym0Zz7PgGX0-kHA/edit?usp=sharing"",""แผน!EP70"")"),268)</f>
        <v>268</v>
      </c>
      <c r="J355" s="438">
        <f ca="1">J362</f>
        <v>29</v>
      </c>
      <c r="K355" s="439">
        <f ca="1">IF(I355&gt;0,J355*100/I355,0)</f>
        <v>10.82089552238806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IFERROR(__xludf.DUMMYFUNCTION("IMPORTRANGE(""https://docs.google.com/spreadsheets/d/1XWAQStnk-4SwqDmLtmXYiTMKHgktTP8We1SCoS47DrQ/edit?usp=sharing"",""จัดที่ดิน!W70"")"),156)</f>
        <v>156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IFERROR(__xludf.DUMMYFUNCTION("IMPORTRANGE(""https://docs.google.com/spreadsheets/d/1QqKyyYR6Q21VydFLVH3TRQUabQu_ym0Zz7PgGX0-kHA/edit?usp=sharing"",""แผน!EO70"")"),2838)</f>
        <v>2838</v>
      </c>
      <c r="J359" s="37">
        <f ca="1">IFERROR(__xludf.DUMMYFUNCTION("IMPORTRANGE(""https://docs.google.com/spreadsheets/d/1XWAQStnk-4SwqDmLtmXYiTMKHgktTP8We1SCoS47DrQ/edit?usp=sharing"",""จัดที่ดิน!X70"")"),1316.46)</f>
        <v>1316.46</v>
      </c>
      <c r="K359" s="38">
        <f t="shared" ca="1" si="160"/>
        <v>46.38689217758985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IFERROR(__xludf.DUMMYFUNCTION("IMPORTRANGE(""https://docs.google.com/spreadsheets/d/1QqKyyYR6Q21VydFLVH3TRQUabQu_ym0Zz7PgGX0-kHA/edit?usp=sharing"",""แผน!EP70"")"),268)</f>
        <v>268</v>
      </c>
      <c r="J360" s="37">
        <f ca="1">IFERROR(__xludf.DUMMYFUNCTION("IMPORTRANGE(""https://docs.google.com/spreadsheets/d/1XWAQStnk-4SwqDmLtmXYiTMKHgktTP8We1SCoS47DrQ/edit?usp=sharing"",""จัดที่ดิน!Y70"")"),28)</f>
        <v>28</v>
      </c>
      <c r="K360" s="38">
        <f t="shared" ca="1" si="160"/>
        <v>10.447761194029852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IFERROR(__xludf.DUMMYFUNCTION("IMPORTRANGE(""https://docs.google.com/spreadsheets/d/1XWAQStnk-4SwqDmLtmXYiTMKHgktTP8We1SCoS47DrQ/edit?usp=sharing"",""จัดที่ดิน!Z70"")"),241.93)</f>
        <v>241.93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IFERROR(__xludf.DUMMYFUNCTION("IMPORTRANGE(""https://docs.google.com/spreadsheets/d/1QqKyyYR6Q21VydFLVH3TRQUabQu_ym0Zz7PgGX0-kHA/edit?usp=sharing"",""แผน!EP70"")"),268)</f>
        <v>268</v>
      </c>
      <c r="J362" s="37">
        <f ca="1">IFERROR(__xludf.DUMMYFUNCTION("IMPORTRANGE(""https://docs.google.com/spreadsheets/d/1XWAQStnk-4SwqDmLtmXYiTMKHgktTP8We1SCoS47DrQ/edit?usp=sharing"",""จัดที่ดิน!AA70"")"),29)</f>
        <v>29</v>
      </c>
      <c r="K362" s="38">
        <f t="shared" ca="1" si="160"/>
        <v>10.82089552238806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IFERROR(__xludf.DUMMYFUNCTION("IMPORTRANGE(""https://docs.google.com/spreadsheets/d/1XWAQStnk-4SwqDmLtmXYiTMKHgktTP8We1SCoS47DrQ/edit?usp=sharing"",""จัดที่ดิน!AB70"")"),250.66)</f>
        <v>250.66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398</v>
      </c>
      <c r="J364" s="452">
        <f t="shared" ca="1" si="161"/>
        <v>207</v>
      </c>
      <c r="K364" s="453">
        <f t="shared" ca="1" si="160"/>
        <v>52.010050251256281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IFERROR(__xludf.DUMMYFUNCTION("IMPORTRANGE(""https://docs.google.com/spreadsheets/d/1QqKyyYR6Q21VydFLVH3TRQUabQu_ym0Zz7PgGX0-kHA/edit?usp=sharing"",""แผน!EJ70"")"),30)</f>
        <v>30</v>
      </c>
      <c r="J365" s="462">
        <f ca="1">J372</f>
        <v>27</v>
      </c>
      <c r="K365" s="463">
        <f t="shared" ca="1" si="160"/>
        <v>90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IFERROR(__xludf.DUMMYFUNCTION("IMPORTRANGE(""https://docs.google.com/spreadsheets/d/1XWAQStnk-4SwqDmLtmXYiTMKHgktTP8We1SCoS47DrQ/edit?usp=sharing"",""จัดที่ดิน!E70"")"),97)</f>
        <v>97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IFERROR(__xludf.DUMMYFUNCTION("IMPORTRANGE(""https://docs.google.com/spreadsheets/d/1QqKyyYR6Q21VydFLVH3TRQUabQu_ym0Zz7PgGX0-kHA/edit?usp=sharing"",""แผน!EI70"")"),500)</f>
        <v>500</v>
      </c>
      <c r="J369" s="37">
        <f ca="1">IFERROR(__xludf.DUMMYFUNCTION("IMPORTRANGE(""https://docs.google.com/spreadsheets/d/1XWAQStnk-4SwqDmLtmXYiTMKHgktTP8We1SCoS47DrQ/edit?usp=sharing"",""จัดที่ดิน!F70"")"),697)</f>
        <v>697</v>
      </c>
      <c r="K369" s="38">
        <f t="shared" ca="1" si="162"/>
        <v>139.4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IFERROR(__xludf.DUMMYFUNCTION("IMPORTRANGE(""https://docs.google.com/spreadsheets/d/1QqKyyYR6Q21VydFLVH3TRQUabQu_ym0Zz7PgGX0-kHA/edit?usp=sharing"",""แผน!EJ70"")"),30)</f>
        <v>30</v>
      </c>
      <c r="J370" s="37">
        <f ca="1">IFERROR(__xludf.DUMMYFUNCTION("IMPORTRANGE(""https://docs.google.com/spreadsheets/d/1XWAQStnk-4SwqDmLtmXYiTMKHgktTP8We1SCoS47DrQ/edit?usp=sharing"",""จัดที่ดิน!G70"")"),27)</f>
        <v>27</v>
      </c>
      <c r="K370" s="38">
        <f t="shared" ca="1" si="162"/>
        <v>90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IFERROR(__xludf.DUMMYFUNCTION("IMPORTRANGE(""https://docs.google.com/spreadsheets/d/1XWAQStnk-4SwqDmLtmXYiTMKHgktTP8We1SCoS47DrQ/edit?usp=sharing"",""จัดที่ดิน!H70"")"),231.91)</f>
        <v>231.91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IFERROR(__xludf.DUMMYFUNCTION("IMPORTRANGE(""https://docs.google.com/spreadsheets/d/1QqKyyYR6Q21VydFLVH3TRQUabQu_ym0Zz7PgGX0-kHA/edit?usp=sharing"",""แผน!EJ70"")"),30)</f>
        <v>30</v>
      </c>
      <c r="J372" s="37">
        <f ca="1">IFERROR(__xludf.DUMMYFUNCTION("IMPORTRANGE(""https://docs.google.com/spreadsheets/d/1XWAQStnk-4SwqDmLtmXYiTMKHgktTP8We1SCoS47DrQ/edit?usp=sharing"",""จัดที่ดิน!I70"")"),27)</f>
        <v>27</v>
      </c>
      <c r="K372" s="38">
        <f t="shared" ca="1" si="162"/>
        <v>90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IFERROR(__xludf.DUMMYFUNCTION("IMPORTRANGE(""https://docs.google.com/spreadsheets/d/1XWAQStnk-4SwqDmLtmXYiTMKHgktTP8We1SCoS47DrQ/edit?usp=sharing"",""จัดที่ดิน!J70"")"),231.91)</f>
        <v>231.91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IFERROR(__xludf.DUMMYFUNCTION("IMPORTRANGE(""https://docs.google.com/spreadsheets/d/1QqKyyYR6Q21VydFLVH3TRQUabQu_ym0Zz7PgGX0-kHA/edit?usp=sharing"",""แผน!EU70"")"),368)</f>
        <v>368</v>
      </c>
      <c r="J374" s="462">
        <f ca="1">J381</f>
        <v>180</v>
      </c>
      <c r="K374" s="463">
        <f t="shared" ca="1" si="162"/>
        <v>48.913043478260867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IFERROR(__xludf.DUMMYFUNCTION("IMPORTRANGE(""https://docs.google.com/spreadsheets/d/1XWAQStnk-4SwqDmLtmXYiTMKHgktTP8We1SCoS47DrQ/edit?usp=sharing"",""จัดที่ดิน!AH70"")"),59)</f>
        <v>59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IFERROR(__xludf.DUMMYFUNCTION("IMPORTRANGE(""https://docs.google.com/spreadsheets/d/1QqKyyYR6Q21VydFLVH3TRQUabQu_ym0Zz7PgGX0-kHA/edit?usp=sharing"",""แผน!ET70"")"),2338)</f>
        <v>2338</v>
      </c>
      <c r="J378" s="37">
        <f ca="1">IFERROR(__xludf.DUMMYFUNCTION("IMPORTRANGE(""https://docs.google.com/spreadsheets/d/1XWAQStnk-4SwqDmLtmXYiTMKHgktTP8We1SCoS47DrQ/edit?usp=sharing"",""จัดที่ดิน!AI70"")"),619.46)</f>
        <v>619.46</v>
      </c>
      <c r="K378" s="38">
        <f t="shared" ca="1" si="163"/>
        <v>26.495295124037639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IFERROR(__xludf.DUMMYFUNCTION("IMPORTRANGE(""https://docs.google.com/spreadsheets/d/1QqKyyYR6Q21VydFLVH3TRQUabQu_ym0Zz7PgGX0-kHA/edit?usp=sharing"",""แผน!EU70"")"),368)</f>
        <v>368</v>
      </c>
      <c r="J379" s="37">
        <f ca="1">IFERROR(__xludf.DUMMYFUNCTION("IMPORTRANGE(""https://docs.google.com/spreadsheets/d/1XWAQStnk-4SwqDmLtmXYiTMKHgktTP8We1SCoS47DrQ/edit?usp=sharing"",""จัดที่ดิน!AJ70"")"),179)</f>
        <v>179</v>
      </c>
      <c r="K379" s="38">
        <f t="shared" ca="1" si="163"/>
        <v>48.641304347826086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IFERROR(__xludf.DUMMYFUNCTION("IMPORTRANGE(""https://docs.google.com/spreadsheets/d/1XWAQStnk-4SwqDmLtmXYiTMKHgktTP8We1SCoS47DrQ/edit?usp=sharing"",""จัดที่ดิน!AK70"")"),2835.75999999999)</f>
        <v>2835.7599999999902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IFERROR(__xludf.DUMMYFUNCTION("IMPORTRANGE(""https://docs.google.com/spreadsheets/d/1QqKyyYR6Q21VydFLVH3TRQUabQu_ym0Zz7PgGX0-kHA/edit?usp=sharing"",""แผน!EU70"")"),368)</f>
        <v>368</v>
      </c>
      <c r="J381" s="37">
        <f ca="1">IFERROR(__xludf.DUMMYFUNCTION("IMPORTRANGE(""https://docs.google.com/spreadsheets/d/1XWAQStnk-4SwqDmLtmXYiTMKHgktTP8We1SCoS47DrQ/edit?usp=sharing"",""จัดที่ดิน!AL70"")"),180)</f>
        <v>180</v>
      </c>
      <c r="K381" s="38">
        <f t="shared" ca="1" si="163"/>
        <v>48.913043478260867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IFERROR(__xludf.DUMMYFUNCTION("IMPORTRANGE(""https://docs.google.com/spreadsheets/d/1XWAQStnk-4SwqDmLtmXYiTMKHgktTP8We1SCoS47DrQ/edit?usp=sharing"",""จัดที่ดิน!AM70"")"),2844.49)</f>
        <v>2844.49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357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IFERROR(__xludf.DUMMYFUNCTION("IMPORTRANGE(""https://docs.google.com/spreadsheets/d/1QqKyyYR6Q21VydFLVH3TRQUabQu_ym0Zz7PgGX0-kHA/edit?usp=sharing"",""แผน!EW70"")"),0)</f>
        <v>0</v>
      </c>
      <c r="J385" s="365">
        <f ca="1">IFERROR(__xludf.DUMMYFUNCTION("IMPORTRANGE(""https://docs.google.com/spreadsheets/d/1XWAQStnk-4SwqDmLtmXYiTMKHgktTP8We1SCoS47DrQ/edit?usp=sharing"",""จัดที่ดิน!AP70"")"),12)</f>
        <v>12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4">I400</f>
        <v>0</v>
      </c>
      <c r="J388" s="492">
        <f t="shared" si="164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IFERROR(__xludf.DUMMYFUNCTION("IMPORTRANGE(""https://docs.google.com/spreadsheets/d/1MeEWN-I1oV_STSDYn1IFDPWt_1FKiwhDph83XaGc0o0/edit?usp=sharing"",""งบพรบ!FG70"")"),0)</f>
        <v>0</v>
      </c>
      <c r="M394" s="45">
        <f ca="1">IFERROR(__xludf.DUMMYFUNCTION("IMPORTRANGE(""https://docs.google.com/spreadsheets/d/1MeEWN-I1oV_STSDYn1IFDPWt_1FKiwhDph83XaGc0o0/edit?usp=sharing"",""งบพรบ!FL70"")"),0)</f>
        <v>0</v>
      </c>
      <c r="N394" s="45">
        <f ca="1">IFERROR(__xludf.DUMMYFUNCTION("IMPORTRANGE(""https://docs.google.com/spreadsheets/d/1MeEWN-I1oV_STSDYn1IFDPWt_1FKiwhDph83XaGc0o0/edit?usp=sharing"",""งบพรบ!FN70"")"),0)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IFERROR(__xludf.DUMMYFUNCTION("IMPORTRANGE(""https://docs.google.com/spreadsheets/d/1MeEWN-I1oV_STSDYn1IFDPWt_1FKiwhDph83XaGc0o0/edit?usp=sharing"",""งบพรบ!FJ70"")"),0)</f>
        <v>0</v>
      </c>
      <c r="M397" s="45">
        <f ca="1">IFERROR(__xludf.DUMMYFUNCTION("IMPORTRANGE(""https://docs.google.com/spreadsheets/d/1MeEWN-I1oV_STSDYn1IFDPWt_1FKiwhDph83XaGc0o0/edit?usp=sharing"",""งบพรบ!FM70"")"),0)</f>
        <v>0</v>
      </c>
      <c r="N397" s="45">
        <f ca="1">IFERROR(__xludf.DUMMYFUNCTION("IMPORTRANGE(""https://docs.google.com/spreadsheets/d/1MeEWN-I1oV_STSDYn1IFDPWt_1FKiwhDph83XaGc0o0/edit?usp=sharing"",""งบพรบ!FO70"")"),0)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2">I412</f>
        <v>0</v>
      </c>
      <c r="J401" s="492">
        <f t="shared" si="172"/>
        <v>0</v>
      </c>
      <c r="K401" s="493">
        <f t="shared" si="171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IFERROR(__xludf.DUMMYFUNCTION("IMPORTRANGE(""https://docs.google.com/spreadsheets/d/1MeEWN-I1oV_STSDYn1IFDPWt_1FKiwhDph83XaGc0o0/edit?usp=sharing"",""งบพรบ!FQ70"")"),0)</f>
        <v>0</v>
      </c>
      <c r="M407" s="45">
        <f ca="1">IFERROR(__xludf.DUMMYFUNCTION("IMPORTRANGE(""https://docs.google.com/spreadsheets/d/1MeEWN-I1oV_STSDYn1IFDPWt_1FKiwhDph83XaGc0o0/edit?usp=sharing"",""งบพรบ!FV70"")"),0)</f>
        <v>0</v>
      </c>
      <c r="N407" s="45">
        <f ca="1">IFERROR(__xludf.DUMMYFUNCTION("IMPORTRANGE(""https://docs.google.com/spreadsheets/d/1MeEWN-I1oV_STSDYn1IFDPWt_1FKiwhDph83XaGc0o0/edit?usp=sharing"",""งบพรบ!FX70"")"),0)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IFERROR(__xludf.DUMMYFUNCTION("IMPORTRANGE(""https://docs.google.com/spreadsheets/d/1MeEWN-I1oV_STSDYn1IFDPWt_1FKiwhDph83XaGc0o0/edit?usp=sharing"",""งบพรบ!FT70"")"),0)</f>
        <v>0</v>
      </c>
      <c r="M410" s="45">
        <f ca="1">IFERROR(__xludf.DUMMYFUNCTION("IMPORTRANGE(""https://docs.google.com/spreadsheets/d/1MeEWN-I1oV_STSDYn1IFDPWt_1FKiwhDph83XaGc0o0/edit?usp=sharing"",""งบพรบ!FW70"")"),0)</f>
        <v>0</v>
      </c>
      <c r="N410" s="45">
        <f ca="1">IFERROR(__xludf.DUMMYFUNCTION("IMPORTRANGE(""https://docs.google.com/spreadsheets/d/1MeEWN-I1oV_STSDYn1IFDPWt_1FKiwhDph83XaGc0o0/edit?usp=sharing"",""งบพรบ!FY70"")"),0)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79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0">L419+L444+L467+L502+L523+L544+L629+L655+L685+L737+L754+L770+L786+L805</f>
        <v>1195199</v>
      </c>
      <c r="M414" s="518">
        <f t="shared" ca="1" si="180"/>
        <v>1185063</v>
      </c>
      <c r="N414" s="518">
        <f t="shared" si="180"/>
        <v>693823.19</v>
      </c>
      <c r="O414" s="518">
        <f ca="1">IF(L414&gt;0,N414*100/L414,0)</f>
        <v>58.050850946160431</v>
      </c>
      <c r="P414" s="518">
        <f ca="1">IF(M414&gt;0,N414*100/M414,0)</f>
        <v>58.54736752392067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1">I433</f>
        <v>20</v>
      </c>
      <c r="J417" s="533">
        <f t="shared" ca="1" si="181"/>
        <v>20</v>
      </c>
      <c r="K417" s="534">
        <f t="shared" ref="K417:K418" ca="1" si="182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1"/>
        <v>1</v>
      </c>
      <c r="J418" s="533">
        <f t="shared" si="181"/>
        <v>1</v>
      </c>
      <c r="K418" s="534">
        <f t="shared" ca="1" si="182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78660</v>
      </c>
      <c r="M419" s="154">
        <f t="shared" ca="1" si="183"/>
        <v>78660</v>
      </c>
      <c r="N419" s="154">
        <f t="shared" si="183"/>
        <v>56965</v>
      </c>
      <c r="O419" s="154">
        <f t="shared" ref="O419:O424" ca="1" si="184">IF(L419&gt;0,N419*100/L419,0)</f>
        <v>72.41927281973048</v>
      </c>
      <c r="P419" s="154">
        <f t="shared" ref="P419:P424" ca="1" si="185">IF(M419&gt;0,N419*100/M419,0)</f>
        <v>72.41927281973048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78660</v>
      </c>
      <c r="M421" s="45">
        <f t="shared" ca="1" si="186"/>
        <v>78660</v>
      </c>
      <c r="N421" s="45">
        <f t="shared" si="186"/>
        <v>56965</v>
      </c>
      <c r="O421" s="45">
        <f t="shared" ca="1" si="184"/>
        <v>72.41927281973048</v>
      </c>
      <c r="P421" s="45">
        <f t="shared" ca="1" si="185"/>
        <v>72.41927281973048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78660</v>
      </c>
      <c r="M422" s="38">
        <f t="shared" ca="1" si="187"/>
        <v>78660</v>
      </c>
      <c r="N422" s="38">
        <f t="shared" si="187"/>
        <v>56965</v>
      </c>
      <c r="O422" s="38">
        <f t="shared" ca="1" si="184"/>
        <v>72.41927281973048</v>
      </c>
      <c r="P422" s="38">
        <f t="shared" ca="1" si="185"/>
        <v>72.41927281973048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IFERROR(__xludf.DUMMYFUNCTION("IMPORTRANGE(""https://docs.google.com/spreadsheets/d/1QqKyyYR6Q21VydFLVH3TRQUabQu_ym0Zz7PgGX0-kHA/edit?usp=sharing"",""แผน!EY70"")"),78660)</f>
        <v>78660</v>
      </c>
      <c r="M424" s="45">
        <f ca="1">L424</f>
        <v>78660</v>
      </c>
      <c r="N424" s="45">
        <f>N425+N426+N427+N428</f>
        <v>56965</v>
      </c>
      <c r="O424" s="45">
        <f t="shared" ca="1" si="184"/>
        <v>72.41927281973048</v>
      </c>
      <c r="P424" s="45">
        <f t="shared" ca="1" si="185"/>
        <v>72.41927281973048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30560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26405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IFERROR(__xludf.DUMMYFUNCTION("IMPORTRANGE(""https://docs.google.com/spreadsheets/d/1QqKyyYR6Q21VydFLVH3TRQUabQu_ym0Zz7PgGX0-kHA/edit?usp=sharing"",""แผน!FB70"")"),0)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IFERROR(__xludf.DUMMYFUNCTION("IMPORTRANGE(""https://docs.google.com/spreadsheets/d/1QqKyyYR6Q21VydFLVH3TRQUabQu_ym0Zz7PgGX0-kHA/edit?usp=sharing"",""แผน!FC70"")"),20)</f>
        <v>20</v>
      </c>
      <c r="J435" s="546">
        <v>20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IFERROR(__xludf.DUMMYFUNCTION("IMPORTRANGE(""https://docs.google.com/spreadsheets/d/1QqKyyYR6Q21VydFLVH3TRQUabQu_ym0Zz7PgGX0-kHA/edit?usp=sharing"",""แผน!FD70"")"),0)</f>
        <v>0</v>
      </c>
      <c r="J437" s="546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IFERROR(__xludf.DUMMYFUNCTION("IMPORTRANGE(""https://docs.google.com/spreadsheets/d/1QqKyyYR6Q21VydFLVH3TRQUabQu_ym0Zz7PgGX0-kHA/edit?usp=sharing"",""แผน!FE70"")"),0)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IFERROR(__xludf.DUMMYFUNCTION("IMPORTRANGE(""https://docs.google.com/spreadsheets/d/1QqKyyYR6Q21VydFLVH3TRQUabQu_ym0Zz7PgGX0-kHA/edit?usp=sharing"",""แผน!FF70"")"),20)</f>
        <v>20</v>
      </c>
      <c r="J439" s="546">
        <v>20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IFERROR(__xludf.DUMMYFUNCTION("IMPORTRANGE(""https://docs.google.com/spreadsheets/d/1QqKyyYR6Q21VydFLVH3TRQUabQu_ym0Zz7PgGX0-kHA/edit?usp=sharing"",""แผน!FG70"")"),1)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IFERROR(__xludf.DUMMYFUNCTION("IMPORTRANGE(""https://docs.google.com/spreadsheets/d/1QqKyyYR6Q21VydFLVH3TRQUabQu_ym0Zz7PgGX0-kHA/edit?usp=sharing"",""แผน!FH70"")"),0)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4">I460</f>
        <v>10</v>
      </c>
      <c r="J442" s="552">
        <f t="shared" si="194"/>
        <v>10</v>
      </c>
      <c r="K442" s="553">
        <f t="shared" ca="1" si="193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5">I462</f>
        <v>20</v>
      </c>
      <c r="J443" s="533">
        <f t="shared" si="195"/>
        <v>20</v>
      </c>
      <c r="K443" s="534">
        <f t="shared" ca="1" si="193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6">L445+L446</f>
        <v>103436</v>
      </c>
      <c r="M444" s="191">
        <f t="shared" ca="1" si="196"/>
        <v>93300</v>
      </c>
      <c r="N444" s="191">
        <f t="shared" si="196"/>
        <v>73520</v>
      </c>
      <c r="O444" s="191">
        <f t="shared" ref="O444:O449" ca="1" si="197">IF(L444&gt;0,N444*100/L444,0)</f>
        <v>71.077767895123557</v>
      </c>
      <c r="P444" s="191">
        <f t="shared" ref="P444:P449" ca="1" si="198">IF(M444&gt;0,N444*100/M444,0)</f>
        <v>78.79957127545552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199"/>
        <v>103436</v>
      </c>
      <c r="M446" s="45">
        <f t="shared" ca="1" si="199"/>
        <v>93300</v>
      </c>
      <c r="N446" s="45">
        <f t="shared" si="199"/>
        <v>73520</v>
      </c>
      <c r="O446" s="45">
        <f t="shared" ca="1" si="197"/>
        <v>71.077767895123557</v>
      </c>
      <c r="P446" s="45">
        <f t="shared" ca="1" si="198"/>
        <v>78.79957127545552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103436</v>
      </c>
      <c r="M447" s="38">
        <f t="shared" ca="1" si="200"/>
        <v>93300</v>
      </c>
      <c r="N447" s="38">
        <f t="shared" si="200"/>
        <v>73520</v>
      </c>
      <c r="O447" s="38">
        <f t="shared" ca="1" si="197"/>
        <v>71.077767895123557</v>
      </c>
      <c r="P447" s="38">
        <f t="shared" ca="1" si="198"/>
        <v>78.79957127545552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IFERROR(__xludf.DUMMYFUNCTION("IMPORTRANGE(""https://docs.google.com/spreadsheets/d/1QqKyyYR6Q21VydFLVH3TRQUabQu_ym0Zz7PgGX0-kHA/edit?usp=sharing"",""แผน!FJ70"")"),103436)</f>
        <v>103436</v>
      </c>
      <c r="M449" s="45">
        <f ca="1">L449-10136</f>
        <v>93300</v>
      </c>
      <c r="N449" s="45">
        <f>N450+N451+N452+N453</f>
        <v>73520</v>
      </c>
      <c r="O449" s="45">
        <f t="shared" ca="1" si="197"/>
        <v>71.077767895123557</v>
      </c>
      <c r="P449" s="45">
        <f t="shared" ca="1" si="198"/>
        <v>78.79957127545552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38830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27000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7690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IFERROR(__xludf.DUMMYFUNCTION("IMPORTRANGE(""https://docs.google.com/spreadsheets/d/1QqKyyYR6Q21VydFLVH3TRQUabQu_ym0Zz7PgGX0-kHA/edit?usp=sharing"",""แผน!FM70"")"),0)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IFERROR(__xludf.DUMMYFUNCTION("IMPORTRANGE(""https://docs.google.com/spreadsheets/d/1QqKyyYR6Q21VydFLVH3TRQUabQu_ym0Zz7PgGX0-kHA/edit?usp=sharing"",""แผน!FN70"")"),10)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IFERROR(__xludf.DUMMYFUNCTION("IMPORTRANGE(""https://docs.google.com/spreadsheets/d/1QqKyyYR6Q21VydFLVH3TRQUabQu_ym0Zz7PgGX0-kHA/edit?usp=sharing"",""แผน!FO70"")"),20)</f>
        <v>20</v>
      </c>
      <c r="J462" s="181">
        <v>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IFERROR(__xludf.DUMMYFUNCTION("IMPORTRANGE(""https://docs.google.com/spreadsheets/d/1QqKyyYR6Q21VydFLVH3TRQUabQu_ym0Zz7PgGX0-kHA/edit?usp=sharing"",""แผน!FO70"")"),20)</f>
        <v>20</v>
      </c>
      <c r="J463" s="181">
        <v>20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IFERROR(__xludf.DUMMYFUNCTION("IMPORTRANGE(""https://docs.google.com/spreadsheets/d/1QqKyyYR6Q21VydFLVH3TRQUabQu_ym0Zz7PgGX0-kHA/edit?usp=sharing"",""แผน!FN70"")"),10)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IFERROR(__xludf.DUMMYFUNCTION("IMPORTRANGE(""https://docs.google.com/spreadsheets/d/1QqKyyYR6Q21VydFLVH3TRQUabQu_ym0Zz7PgGX0-kHA/edit?usp=sharing"",""แผน!FX70"")"),21)</f>
        <v>21</v>
      </c>
      <c r="J465" s="552">
        <f>J485+J489+J492</f>
        <v>21</v>
      </c>
      <c r="K465" s="553">
        <f t="shared" ref="K465:K466" ca="1" si="204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IFERROR(__xludf.DUMMYFUNCTION("IMPORTRANGE(""https://docs.google.com/spreadsheets/d/1QqKyyYR6Q21VydFLVH3TRQUabQu_ym0Zz7PgGX0-kHA/edit?usp=sharing"",""แผน!FW70"")"),200)</f>
        <v>200</v>
      </c>
      <c r="J466" s="533">
        <f>J495+J498</f>
        <v>200</v>
      </c>
      <c r="K466" s="534">
        <f t="shared" ca="1" si="204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5">L468+L469</f>
        <v>179063</v>
      </c>
      <c r="M467" s="191">
        <f t="shared" ca="1" si="205"/>
        <v>179063</v>
      </c>
      <c r="N467" s="191">
        <f t="shared" si="205"/>
        <v>177170</v>
      </c>
      <c r="O467" s="191">
        <f t="shared" ref="O467:O472" ca="1" si="206">IF(L467&gt;0,N467*100/L467,0)</f>
        <v>98.94283017708851</v>
      </c>
      <c r="P467" s="191">
        <f t="shared" ref="P467:P472" ca="1" si="207">IF(M467&gt;0,N467*100/M467,0)</f>
        <v>98.94283017708851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8"/>
        <v>179063</v>
      </c>
      <c r="M469" s="45">
        <f t="shared" ca="1" si="208"/>
        <v>179063</v>
      </c>
      <c r="N469" s="45">
        <f t="shared" si="208"/>
        <v>177170</v>
      </c>
      <c r="O469" s="45">
        <f t="shared" ca="1" si="206"/>
        <v>98.94283017708851</v>
      </c>
      <c r="P469" s="45">
        <f t="shared" ca="1" si="207"/>
        <v>98.94283017708851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179063</v>
      </c>
      <c r="M470" s="38">
        <f t="shared" ca="1" si="209"/>
        <v>179063</v>
      </c>
      <c r="N470" s="38">
        <f t="shared" si="209"/>
        <v>177170</v>
      </c>
      <c r="O470" s="38">
        <f t="shared" ca="1" si="206"/>
        <v>98.94283017708851</v>
      </c>
      <c r="P470" s="38">
        <f t="shared" ca="1" si="207"/>
        <v>98.94283017708851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IFERROR(__xludf.DUMMYFUNCTION("IMPORTRANGE(""https://docs.google.com/spreadsheets/d/1QqKyyYR6Q21VydFLVH3TRQUabQu_ym0Zz7PgGX0-kHA/edit?usp=sharing"",""แผน!FS70"")"),179063)</f>
        <v>179063</v>
      </c>
      <c r="M472" s="45">
        <f ca="1">L472</f>
        <v>179063</v>
      </c>
      <c r="N472" s="45">
        <f>N473+N474+N475+N476</f>
        <v>177170</v>
      </c>
      <c r="O472" s="45">
        <f t="shared" ca="1" si="206"/>
        <v>98.94283017708851</v>
      </c>
      <c r="P472" s="45">
        <f t="shared" ca="1" si="207"/>
        <v>98.94283017708851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46890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124000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6280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IFERROR(__xludf.DUMMYFUNCTION("IMPORTRANGE(""https://docs.google.com/spreadsheets/d/1QqKyyYR6Q21VydFLVH3TRQUabQu_ym0Zz7PgGX0-kHA/edit?usp=sharing"",""แผน!FV70"")"),0)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IFERROR(__xludf.DUMMYFUNCTION("IMPORTRANGE(""https://docs.google.com/spreadsheets/d/1QqKyyYR6Q21VydFLVH3TRQUabQu_ym0Zz7PgGX0-kHA/edit?usp=sharing"",""แผน!FY70"")"),180)</f>
        <v>180</v>
      </c>
      <c r="J483" s="181">
        <v>180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IFERROR(__xludf.DUMMYFUNCTION("IMPORTRANGE(""https://docs.google.com/spreadsheets/d/1QqKyyYR6Q21VydFLVH3TRQUabQu_ym0Zz7PgGX0-kHA/edit?usp=sharing"",""แผน!FZ70"")"),18)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IFERROR(__xludf.DUMMYFUNCTION("IMPORTRANGE(""https://docs.google.com/spreadsheets/d/1QqKyyYR6Q21VydFLVH3TRQUabQu_ym0Zz7PgGX0-kHA/edit?usp=sharing"",""แผน!GA70"")"),20)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IFERROR(__xludf.DUMMYFUNCTION("IMPORTRANGE(""https://docs.google.com/spreadsheets/d/1QqKyyYR6Q21VydFLVH3TRQUabQu_ym0Zz7PgGX0-kHA/edit?usp=sharing"",""แผน!GB70"")"),2)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IFERROR(__xludf.DUMMYFUNCTION("IMPORTRANGE(""https://docs.google.com/spreadsheets/d/1QqKyyYR6Q21VydFLVH3TRQUabQu_ym0Zz7PgGX0-kHA/edit?usp=sharing"",""แผน!FY70"")"),180)</f>
        <v>180</v>
      </c>
      <c r="J495" s="181">
        <v>180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IFERROR(__xludf.DUMMYFUNCTION("IMPORTRANGE(""https://docs.google.com/spreadsheets/d/1QqKyyYR6Q21VydFLVH3TRQUabQu_ym0Zz7PgGX0-kHA/edit?usp=sharing"",""แผน!GA70"")"),20)</f>
        <v>20</v>
      </c>
      <c r="J498" s="181">
        <v>20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3">J516</f>
        <v>0</v>
      </c>
      <c r="K500" s="586">
        <f t="shared" ref="K500:K501" si="214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3"/>
        <v>0</v>
      </c>
      <c r="K501" s="594">
        <f t="shared" si="214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5">L503+L504</f>
        <v>0</v>
      </c>
      <c r="M502" s="598">
        <f t="shared" si="215"/>
        <v>0</v>
      </c>
      <c r="N502" s="598">
        <f t="shared" si="215"/>
        <v>0</v>
      </c>
      <c r="O502" s="598">
        <f t="shared" ref="O502:O507" si="216">IF(L502&gt;0,N502*100/L502,0)</f>
        <v>0</v>
      </c>
      <c r="P502" s="598">
        <f t="shared" ref="P502:P507" si="217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3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4">I537</f>
        <v>0</v>
      </c>
      <c r="J522" s="627">
        <f t="shared" ca="1" si="224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IFERROR(__xludf.DUMMYFUNCTION("IMPORTRANGE(""https://docs.google.com/spreadsheets/d/1QqKyyYR6Q21VydFLVH3TRQUabQu_ym0Zz7PgGX0-kHA/edit?usp=sharing"",""แผน!GQ70"")"),0)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IFERROR(__xludf.DUMMYFUNCTION("IMPORTRANGE(""https://docs.google.com/spreadsheets/d/1QqKyyYR6Q21VydFLVH3TRQUabQu_ym0Zz7PgGX0-kHA/edit?usp=sharing"",""แผน!GT70"")"),0)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IFERROR(__xludf.DUMMYFUNCTION("IMPORTRANGE(""https://docs.google.com/spreadsheets/d/1QqKyyYR6Q21VydFLVH3TRQUabQu_ym0Zz7PgGX0-kHA/edit?usp=sharing"",""แผน!GU70"")"),0)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IFERROR(__xludf.DUMMYFUNCTION("IMPORTRANGE(""https://docs.google.com/spreadsheets/d/1QqKyyYR6Q21VydFLVH3TRQUabQu_ym0Zz7PgGX0-kHA/edit?usp=sharing"",""แผน!GV70"")"),0)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IFERROR(__xludf.DUMMYFUNCTION("IMPORTRANGE(""https://docs.google.com/spreadsheets/d/1QqKyyYR6Q21VydFLVH3TRQUabQu_ym0Zz7PgGX0-kHA/edit?usp=sharing"",""แผน!GW70"")"),0)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IFERROR(__xludf.DUMMYFUNCTION("IMPORTRANGE(""https://docs.google.com/spreadsheets/d/1QqKyyYR6Q21VydFLVH3TRQUabQu_ym0Zz7PgGX0-kHA/edit?usp=sharing"",""แผน!GX70"")"),0)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IFERROR(__xludf.DUMMYFUNCTION("IMPORTRANGE(""https://docs.google.com/spreadsheets/d/1QqKyyYR6Q21VydFLVH3TRQUabQu_ym0Zz7PgGX0-kHA/edit?usp=sharing"",""แผน!GY70"")"),0)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IFERROR(__xludf.DUMMYFUNCTION("IMPORTRANGE(""https://docs.google.com/spreadsheets/d/1QqKyyYR6Q21VydFLVH3TRQUabQu_ym0Zz7PgGX0-kHA/edit?usp=sharing"",""แผน!GZ70"")"),0)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4">I559</f>
        <v>0</v>
      </c>
      <c r="J543" s="635">
        <f t="shared" si="234"/>
        <v>0</v>
      </c>
      <c r="K543" s="636">
        <f t="shared" ca="1" si="233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5">L545+L546</f>
        <v>248300</v>
      </c>
      <c r="M544" s="154">
        <f t="shared" ca="1" si="235"/>
        <v>248300</v>
      </c>
      <c r="N544" s="154">
        <f t="shared" si="235"/>
        <v>193648.05</v>
      </c>
      <c r="O544" s="154">
        <f t="shared" ref="O544:O549" ca="1" si="236">IF(L544&gt;0,N544*100/L544,0)</f>
        <v>77.98954893274265</v>
      </c>
      <c r="P544" s="154">
        <f t="shared" ref="P544:P549" ca="1" si="237">IF(M544&gt;0,N544*100/M544,0)</f>
        <v>77.98954893274265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8"/>
        <v>248300</v>
      </c>
      <c r="M546" s="45">
        <f t="shared" ca="1" si="239"/>
        <v>248300</v>
      </c>
      <c r="N546" s="45">
        <f t="shared" si="239"/>
        <v>193648.05</v>
      </c>
      <c r="O546" s="45">
        <f t="shared" ca="1" si="236"/>
        <v>77.98954893274265</v>
      </c>
      <c r="P546" s="45">
        <f t="shared" ca="1" si="237"/>
        <v>77.98954893274265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248300</v>
      </c>
      <c r="M547" s="38">
        <f t="shared" ca="1" si="240"/>
        <v>248300</v>
      </c>
      <c r="N547" s="38">
        <f t="shared" si="240"/>
        <v>193648.05</v>
      </c>
      <c r="O547" s="38">
        <f t="shared" ca="1" si="236"/>
        <v>77.98954893274265</v>
      </c>
      <c r="P547" s="38">
        <f t="shared" ca="1" si="237"/>
        <v>77.98954893274265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IFERROR(__xludf.DUMMYFUNCTION("IMPORTRANGE(""https://docs.google.com/spreadsheets/d/1QqKyyYR6Q21VydFLVH3TRQUabQu_ym0Zz7PgGX0-kHA/edit?usp=sharing"",""แผน!HB70"")"),248300)</f>
        <v>248300</v>
      </c>
      <c r="M549" s="45">
        <f ca="1">L549</f>
        <v>248300</v>
      </c>
      <c r="N549" s="45">
        <f>N550+N551+N552+N553+N554</f>
        <v>193648.05</v>
      </c>
      <c r="O549" s="45">
        <f t="shared" ca="1" si="236"/>
        <v>77.98954893274265</v>
      </c>
      <c r="P549" s="45">
        <f t="shared" ca="1" si="237"/>
        <v>77.98954893274265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102701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90947.05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IFERROR(__xludf.DUMMYFUNCTION("IMPORTRANGE(""https://docs.google.com/spreadsheets/d/1QqKyyYR6Q21VydFLVH3TRQUabQu_ym0Zz7PgGX0-kHA/edit?usp=sharing"",""แผน!HF70"")"),0)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4">I576</f>
        <v>0</v>
      </c>
      <c r="J559" s="627">
        <f t="shared" si="244"/>
        <v>0</v>
      </c>
      <c r="K559" s="628">
        <f t="shared" ref="K559:K561" ca="1" si="245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IFERROR(__xludf.DUMMYFUNCTION("IMPORTRANGE(""https://docs.google.com/spreadsheets/d/1QqKyyYR6Q21VydFLVH3TRQUabQu_ym0Zz7PgGX0-kHA/edit?usp=sharing"",""แผน!HH70"")"),0)</f>
        <v>0</v>
      </c>
      <c r="J560" s="189">
        <f t="shared" ref="J560:J561" si="246">J562+J564+J566</f>
        <v>0</v>
      </c>
      <c r="K560" s="390">
        <f t="shared" ca="1" si="245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IFERROR(__xludf.DUMMYFUNCTION("IMPORTRANGE(""https://docs.google.com/spreadsheets/d/1QqKyyYR6Q21VydFLVH3TRQUabQu_ym0Zz7PgGX0-kHA/edit?usp=sharing"",""แผน!HG70"")"),0)</f>
        <v>0</v>
      </c>
      <c r="J561" s="189">
        <f t="shared" si="246"/>
        <v>0</v>
      </c>
      <c r="K561" s="390">
        <f t="shared" ca="1" si="245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IFERROR(__xludf.DUMMYFUNCTION("IMPORTRANGE(""https://docs.google.com/spreadsheets/d/1QqKyyYR6Q21VydFLVH3TRQUabQu_ym0Zz7PgGX0-kHA/edit?usp=sharing"",""แผน!HH70"")"),0)</f>
        <v>0</v>
      </c>
      <c r="J568" s="190">
        <f t="shared" ref="J568:J569" si="247">J570+J572+J574</f>
        <v>0</v>
      </c>
      <c r="K568" s="390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IFERROR(__xludf.DUMMYFUNCTION("IMPORTRANGE(""https://docs.google.com/spreadsheets/d/1QqKyyYR6Q21VydFLVH3TRQUabQu_ym0Zz7PgGX0-kHA/edit?usp=sharing"",""แผน!HG70"")"),0)</f>
        <v>0</v>
      </c>
      <c r="J569" s="190">
        <f t="shared" si="247"/>
        <v>0</v>
      </c>
      <c r="K569" s="390">
        <f t="shared" ca="1" si="248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IFERROR(__xludf.DUMMYFUNCTION("IMPORTRANGE(""https://docs.google.com/spreadsheets/d/1QqKyyYR6Q21VydFLVH3TRQUabQu_ym0Zz7PgGX0-kHA/edit?usp=sharing"",""แผน!HH70"")"),0)</f>
        <v>0</v>
      </c>
      <c r="J576" s="190">
        <f t="shared" ref="J576:J577" si="249">J578+J580+J582+J588+J590</f>
        <v>0</v>
      </c>
      <c r="K576" s="390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IFERROR(__xludf.DUMMYFUNCTION("IMPORTRANGE(""https://docs.google.com/spreadsheets/d/1QqKyyYR6Q21VydFLVH3TRQUabQu_ym0Zz7PgGX0-kHA/edit?usp=sharing"",""แผน!HG70"")"),0)</f>
        <v>0</v>
      </c>
      <c r="J577" s="190">
        <f t="shared" si="249"/>
        <v>0</v>
      </c>
      <c r="K577" s="390">
        <f t="shared" ca="1" si="250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2">I593</f>
        <v>641.15</v>
      </c>
      <c r="J592" s="627">
        <f t="shared" si="252"/>
        <v>577</v>
      </c>
      <c r="K592" s="628">
        <f t="shared" ref="K592:K594" ca="1" si="253">IF(I592&gt;0,J592*100/I592,0)</f>
        <v>89.994541059034546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IFERROR(__xludf.DUMMYFUNCTION("IMPORTRANGE(""https://docs.google.com/spreadsheets/d/1QqKyyYR6Q21VydFLVH3TRQUabQu_ym0Zz7PgGX0-kHA/edit?usp=sharing"",""แผน!HJ70"")"),641.15)</f>
        <v>641.15</v>
      </c>
      <c r="J593" s="189">
        <f t="shared" ref="J593:J594" si="254">J595+J603+J609</f>
        <v>577</v>
      </c>
      <c r="K593" s="390">
        <f t="shared" ca="1" si="253"/>
        <v>89.994541059034546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IFERROR(__xludf.DUMMYFUNCTION("IMPORTRANGE(""https://docs.google.com/spreadsheets/d/1QqKyyYR6Q21VydFLVH3TRQUabQu_ym0Zz7PgGX0-kHA/edit?usp=sharing"",""แผน!HI70"")"),121)</f>
        <v>121</v>
      </c>
      <c r="J594" s="189">
        <f t="shared" si="254"/>
        <v>106</v>
      </c>
      <c r="K594" s="390">
        <f t="shared" ca="1" si="253"/>
        <v>87.603305785123965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5">J597+J599</f>
        <v>452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5"/>
        <v>96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452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96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6">J605+J607</f>
        <v>65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6"/>
        <v>6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65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6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60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4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7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8">J614+J616</f>
        <v>0</v>
      </c>
      <c r="K612" s="663">
        <f t="shared" si="257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8"/>
        <v>0</v>
      </c>
      <c r="K613" s="663">
        <f t="shared" si="257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IFERROR(__xludf.DUMMYFUNCTION("IMPORTRANGE(""https://docs.google.com/spreadsheets/d/1QqKyyYR6Q21VydFLVH3TRQUabQu_ym0Zz7PgGX0-kHA/edit?usp=sharing"",""แผน!HL70"")"),0)</f>
        <v>0</v>
      </c>
      <c r="J620" s="672">
        <f t="shared" ref="J620:J621" si="259">J622+J624+J626</f>
        <v>0</v>
      </c>
      <c r="K620" s="673">
        <f t="shared" ref="K620:K621" ca="1" si="260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IFERROR(__xludf.DUMMYFUNCTION("IMPORTRANGE(""https://docs.google.com/spreadsheets/d/1QqKyyYR6Q21VydFLVH3TRQUabQu_ym0Zz7PgGX0-kHA/edit?usp=sharing"",""แผน!HK70"")"),0)</f>
        <v>0</v>
      </c>
      <c r="J621" s="672">
        <f t="shared" si="259"/>
        <v>0</v>
      </c>
      <c r="K621" s="673">
        <f t="shared" ca="1" si="260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1">I651</f>
        <v>500</v>
      </c>
      <c r="J628" s="683">
        <f t="shared" ca="1" si="261"/>
        <v>26</v>
      </c>
      <c r="K628" s="684">
        <f ca="1">IF(I628&gt;0,J628*100/I628,0)</f>
        <v>5.2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2">L630+L631</f>
        <v>565480</v>
      </c>
      <c r="M629" s="191">
        <f t="shared" ca="1" si="262"/>
        <v>565480</v>
      </c>
      <c r="N629" s="191">
        <f t="shared" si="262"/>
        <v>182784.14</v>
      </c>
      <c r="O629" s="191">
        <f t="shared" ref="O629:O634" ca="1" si="263">IF(L629&gt;0,N629*100/L629,0)</f>
        <v>32.323714366555848</v>
      </c>
      <c r="P629" s="191">
        <f t="shared" ref="P629:P634" ca="1" si="264">IF(M629&gt;0,N629*100/M629,0)</f>
        <v>32.323714366555848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5"/>
        <v>565480</v>
      </c>
      <c r="M631" s="45">
        <f t="shared" ca="1" si="265"/>
        <v>565480</v>
      </c>
      <c r="N631" s="45">
        <f t="shared" si="265"/>
        <v>182784.14</v>
      </c>
      <c r="O631" s="45">
        <f t="shared" ca="1" si="263"/>
        <v>32.323714366555848</v>
      </c>
      <c r="P631" s="45">
        <f t="shared" ca="1" si="264"/>
        <v>32.323714366555848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565480</v>
      </c>
      <c r="M632" s="38">
        <f t="shared" ca="1" si="266"/>
        <v>565480</v>
      </c>
      <c r="N632" s="38">
        <f t="shared" si="266"/>
        <v>182784.14</v>
      </c>
      <c r="O632" s="38">
        <f t="shared" ca="1" si="263"/>
        <v>32.323714366555848</v>
      </c>
      <c r="P632" s="38">
        <f t="shared" ca="1" si="264"/>
        <v>32.323714366555848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IFERROR(__xludf.DUMMYFUNCTION("IMPORTRANGE(""https://docs.google.com/spreadsheets/d/1QqKyyYR6Q21VydFLVH3TRQUabQu_ym0Zz7PgGX0-kHA/edit?usp=sharing"",""แผน!HN70"")"),565480)</f>
        <v>565480</v>
      </c>
      <c r="M634" s="45">
        <f ca="1">L634</f>
        <v>565480</v>
      </c>
      <c r="N634" s="45">
        <f>N635+N636+N637+N638</f>
        <v>182784.14</v>
      </c>
      <c r="O634" s="45">
        <f t="shared" ca="1" si="263"/>
        <v>32.323714366555848</v>
      </c>
      <c r="P634" s="45">
        <f t="shared" ca="1" si="264"/>
        <v>32.323714366555848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57876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124908.14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IFERROR(__xludf.DUMMYFUNCTION("IMPORTRANGE(""https://docs.google.com/spreadsheets/d/1QqKyyYR6Q21VydFLVH3TRQUabQu_ym0Zz7PgGX0-kHA/edit?usp=sharing"",""แผน!HQ70"")"),0)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IFERROR(__xludf.DUMMYFUNCTION("IMPORTRANGE(""https://docs.google.com/spreadsheets/d/1QqKyyYR6Q21VydFLVH3TRQUabQu_ym0Zz7PgGX0-kHA/edit?usp=sharing"",""แผน!HR70"")"),0)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IFERROR(__xludf.DUMMYFUNCTION("IMPORTRANGE(""https://docs.google.com/spreadsheets/d/1QqKyyYR6Q21VydFLVH3TRQUabQu_ym0Zz7PgGX0-kHA/edit?usp=sharing"",""แผน!HR70"")"),0)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IFERROR(__xludf.DUMMYFUNCTION("IMPORTRANGE(""https://docs.google.com/spreadsheets/d/1XWAQStnk-4SwqDmLtmXYiTMKHgktTP8We1SCoS47DrQ/edit?usp=sharing"",""จัดที่ดิน!AS70"")"),53)</f>
        <v>53</v>
      </c>
      <c r="K645" s="162">
        <f t="shared" si="270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IFERROR(__xludf.DUMMYFUNCTION("IMPORTRANGE(""https://docs.google.com/spreadsheets/d/1XWAQStnk-4SwqDmLtmXYiTMKHgktTP8We1SCoS47DrQ/edit?usp=sharing"",""จัดที่ดิน!AT70"")"),43.38)</f>
        <v>43.38</v>
      </c>
      <c r="K646" s="38">
        <f t="shared" si="270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IFERROR(__xludf.DUMMYFUNCTION("IMPORTRANGE(""https://docs.google.com/spreadsheets/d/1QqKyyYR6Q21VydFLVH3TRQUabQu_ym0Zz7PgGX0-kHA/edit?usp=sharing"",""แผน!HS70"")"),500)</f>
        <v>500</v>
      </c>
      <c r="J647" s="37">
        <f ca="1">IFERROR(__xludf.DUMMYFUNCTION("IMPORTRANGE(""https://docs.google.com/spreadsheets/d/1XWAQStnk-4SwqDmLtmXYiTMKHgktTP8We1SCoS47DrQ/edit?usp=sharing"",""จัดที่ดิน!AU70"")"),56)</f>
        <v>56</v>
      </c>
      <c r="K647" s="162">
        <f t="shared" ca="1" si="270"/>
        <v>11.2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IFERROR(__xludf.DUMMYFUNCTION("IMPORTRANGE(""https://docs.google.com/spreadsheets/d/1XWAQStnk-4SwqDmLtmXYiTMKHgktTP8We1SCoS47DrQ/edit?usp=sharing"",""จัดที่ดิน!AV70"")"),45.24)</f>
        <v>45.24</v>
      </c>
      <c r="K648" s="38">
        <f t="shared" si="270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IFERROR(__xludf.DUMMYFUNCTION("IMPORTRANGE(""https://docs.google.com/spreadsheets/d/1QqKyyYR6Q21VydFLVH3TRQUabQu_ym0Zz7PgGX0-kHA/edit?usp=sharing"",""แผน!HS70"")"),500)</f>
        <v>500</v>
      </c>
      <c r="J649" s="37">
        <f ca="1">IFERROR(__xludf.DUMMYFUNCTION("IMPORTRANGE(""https://docs.google.com/spreadsheets/d/1XWAQStnk-4SwqDmLtmXYiTMKHgktTP8We1SCoS47DrQ/edit?usp=sharing"",""จัดที่ดิน!AW70"")"),30)</f>
        <v>30</v>
      </c>
      <c r="K649" s="162">
        <f t="shared" ca="1" si="270"/>
        <v>6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IFERROR(__xludf.DUMMYFUNCTION("IMPORTRANGE(""https://docs.google.com/spreadsheets/d/1XWAQStnk-4SwqDmLtmXYiTMKHgktTP8We1SCoS47DrQ/edit?usp=sharing"",""จัดที่ดิน!AX70"")"),35.82)</f>
        <v>35.82</v>
      </c>
      <c r="K650" s="38">
        <f t="shared" si="270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IFERROR(__xludf.DUMMYFUNCTION("IMPORTRANGE(""https://docs.google.com/spreadsheets/d/1QqKyyYR6Q21VydFLVH3TRQUabQu_ym0Zz7PgGX0-kHA/edit?usp=sharing"",""แผน!HS70"")"),500)</f>
        <v>500</v>
      </c>
      <c r="J651" s="37">
        <f ca="1">IFERROR(__xludf.DUMMYFUNCTION("IMPORTRANGE(""https://docs.google.com/spreadsheets/d/1XWAQStnk-4SwqDmLtmXYiTMKHgktTP8We1SCoS47DrQ/edit?usp=sharing"",""จัดที่ดิน!AY70"")"),26)</f>
        <v>26</v>
      </c>
      <c r="K651" s="162">
        <f t="shared" ca="1" si="270"/>
        <v>5.2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IFERROR(__xludf.DUMMYFUNCTION("IMPORTRANGE(""https://docs.google.com/spreadsheets/d/1XWAQStnk-4SwqDmLtmXYiTMKHgktTP8We1SCoS47DrQ/edit?usp=sharing"",""จัดที่ดิน!AZ70"")"),31)</f>
        <v>31</v>
      </c>
      <c r="K652" s="472">
        <f t="shared" si="270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1">I669</f>
        <v>50</v>
      </c>
      <c r="J654" s="627">
        <f t="shared" si="271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2">L656+L657</f>
        <v>11000</v>
      </c>
      <c r="M655" s="191">
        <f t="shared" ca="1" si="272"/>
        <v>11000</v>
      </c>
      <c r="N655" s="191">
        <f t="shared" si="272"/>
        <v>4036</v>
      </c>
      <c r="O655" s="191">
        <f t="shared" ref="O655:O660" ca="1" si="273">IF(L655&gt;0,N655*100/L655,0)</f>
        <v>36.690909090909088</v>
      </c>
      <c r="P655" s="191">
        <f t="shared" ref="P655:P660" ca="1" si="274">IF(M655&gt;0,N655*100/M655,0)</f>
        <v>36.690909090909088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5"/>
        <v>11000</v>
      </c>
      <c r="M657" s="45">
        <f t="shared" ca="1" si="275"/>
        <v>11000</v>
      </c>
      <c r="N657" s="45">
        <f t="shared" si="275"/>
        <v>4036</v>
      </c>
      <c r="O657" s="45">
        <f t="shared" ca="1" si="273"/>
        <v>36.690909090909088</v>
      </c>
      <c r="P657" s="45">
        <f t="shared" ca="1" si="274"/>
        <v>36.690909090909088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11000</v>
      </c>
      <c r="M658" s="38">
        <f t="shared" ca="1" si="276"/>
        <v>11000</v>
      </c>
      <c r="N658" s="38">
        <f t="shared" si="276"/>
        <v>4036</v>
      </c>
      <c r="O658" s="38">
        <f t="shared" ca="1" si="273"/>
        <v>36.690909090909088</v>
      </c>
      <c r="P658" s="38">
        <f t="shared" ca="1" si="274"/>
        <v>36.690909090909088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IFERROR(__xludf.DUMMYFUNCTION("IMPORTRANGE(""https://docs.google.com/spreadsheets/d/1QqKyyYR6Q21VydFLVH3TRQUabQu_ym0Zz7PgGX0-kHA/edit?usp=sharing"",""แผน!HV70"")"),11000)</f>
        <v>11000</v>
      </c>
      <c r="M660" s="45">
        <f ca="1">L660</f>
        <v>11000</v>
      </c>
      <c r="N660" s="45">
        <f>N661+N662+N663+N664</f>
        <v>4036</v>
      </c>
      <c r="O660" s="45">
        <f t="shared" ca="1" si="273"/>
        <v>36.690909090909088</v>
      </c>
      <c r="P660" s="45">
        <f t="shared" ca="1" si="274"/>
        <v>36.690909090909088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4036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IFERROR(__xludf.DUMMYFUNCTION("IMPORTRANGE(""https://docs.google.com/spreadsheets/d/1QqKyyYR6Q21VydFLVH3TRQUabQu_ym0Zz7PgGX0-kHA/edit?usp=sharing"",""แผน!IA70"")"),50)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IFERROR(__xludf.DUMMYFUNCTION("IMPORTRANGE(""https://docs.google.com/spreadsheets/d/1QqKyyYR6Q21VydFLVH3TRQUabQu_ym0Zz7PgGX0-kHA/edit?usp=sharing"",""แผน!HZ70"")"),5)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IFERROR(__xludf.DUMMYFUNCTION("IMPORTRANGE(""https://docs.google.com/spreadsheets/d/1QqKyyYR6Q21VydFLVH3TRQUabQu_ym0Zz7PgGX0-kHA/edit?usp=sharing"",""แผน!HZ70"")"),5)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0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0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1">L686+L687</f>
        <v>9260</v>
      </c>
      <c r="M685" s="191">
        <f t="shared" ca="1" si="281"/>
        <v>9260</v>
      </c>
      <c r="N685" s="191">
        <f t="shared" si="281"/>
        <v>5700</v>
      </c>
      <c r="O685" s="191">
        <f t="shared" ref="O685:O688" ca="1" si="282">IF(L685&gt;0,N685*100/L685,0)</f>
        <v>61.555075593952481</v>
      </c>
      <c r="P685" s="191">
        <f t="shared" ref="P685:P688" ca="1" si="283">IF(M685&gt;0,N685*100/M685,0)</f>
        <v>61.555075593952481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4"/>
        <v>9260</v>
      </c>
      <c r="M687" s="45">
        <f t="shared" ca="1" si="284"/>
        <v>9260</v>
      </c>
      <c r="N687" s="45">
        <f t="shared" si="284"/>
        <v>5700</v>
      </c>
      <c r="O687" s="45">
        <f t="shared" ca="1" si="282"/>
        <v>61.555075593952481</v>
      </c>
      <c r="P687" s="45">
        <f t="shared" ca="1" si="283"/>
        <v>61.555075593952481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9260</v>
      </c>
      <c r="M688" s="38">
        <f t="shared" ca="1" si="285"/>
        <v>9260</v>
      </c>
      <c r="N688" s="38">
        <f t="shared" si="285"/>
        <v>5700</v>
      </c>
      <c r="O688" s="38">
        <f t="shared" ca="1" si="282"/>
        <v>61.555075593952481</v>
      </c>
      <c r="P688" s="38">
        <f t="shared" ca="1" si="283"/>
        <v>61.555075593952481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IFERROR(__xludf.DUMMYFUNCTION("IMPORTRANGE(""https://docs.google.com/spreadsheets/d/1QqKyyYR6Q21VydFLVH3TRQUabQu_ym0Zz7PgGX0-kHA/edit?usp=sharing"",""แผน!HW70"")"),9260)</f>
        <v>9260</v>
      </c>
      <c r="M690" s="45">
        <f ca="1">L690</f>
        <v>9260</v>
      </c>
      <c r="N690" s="45">
        <f>N691+N692+N693+N694</f>
        <v>5700</v>
      </c>
      <c r="O690" s="45">
        <f ca="1">IF(L690&gt;0,N690*100/L690,0)</f>
        <v>61.555075593952481</v>
      </c>
      <c r="P690" s="45">
        <f ca="1">IF(M690&gt;0,N690*100/M690,0)</f>
        <v>61.555075593952481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5700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IFERROR(__xludf.DUMMYFUNCTION("IMPORTRANGE(""https://docs.google.com/spreadsheets/d/1QqKyyYR6Q21VydFLVH3TRQUabQu_ym0Zz7PgGX0-kHA/edit?usp=sharing"",""แผน!IC70"")"),0)</f>
        <v>0</v>
      </c>
      <c r="J699" s="37">
        <f ca="1">IFERROR(__xludf.DUMMYFUNCTION("IMPORTRANGE(""https://docs.google.com/spreadsheets/d/1XWAQStnk-4SwqDmLtmXYiTMKHgktTP8We1SCoS47DrQ/edit?usp=sharing"",""จัดที่ดิน!BB70"")"),0)</f>
        <v>0</v>
      </c>
      <c r="K699" s="38">
        <f t="shared" ref="K699:K701" ca="1" si="289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IFERROR(__xludf.DUMMYFUNCTION("IMPORTRANGE(""https://docs.google.com/spreadsheets/d/1QqKyyYR6Q21VydFLVH3TRQUabQu_ym0Zz7PgGX0-kHA/edit?usp=sharing"",""แผน!ID70"")"),0)</f>
        <v>0</v>
      </c>
      <c r="J700" s="37">
        <f ca="1">IFERROR(__xludf.DUMMYFUNCTION("IMPORTRANGE(""https://docs.google.com/spreadsheets/d/1XWAQStnk-4SwqDmLtmXYiTMKHgktTP8We1SCoS47DrQ/edit?usp=sharing"",""จัดที่ดิน!BD70"")"),0)</f>
        <v>0</v>
      </c>
      <c r="K700" s="38">
        <f t="shared" ca="1" si="289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IFERROR(__xludf.DUMMYFUNCTION("IMPORTRANGE(""https://docs.google.com/spreadsheets/d/1QqKyyYR6Q21VydFLVH3TRQUabQu_ym0Zz7PgGX0-kHA/edit?usp=sharing"",""แผน!IE70"")"),23)</f>
        <v>23</v>
      </c>
      <c r="J701" s="190">
        <f>J704+J707</f>
        <v>0</v>
      </c>
      <c r="K701" s="191">
        <f t="shared" ca="1" si="289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IFERROR(__xludf.DUMMYFUNCTION("IMPORTRANGE(""https://docs.google.com/spreadsheets/d/1QqKyyYR6Q21VydFLVH3TRQUabQu_ym0Zz7PgGX0-kHA/edit?usp=sharing"",""แผน!IF70"")"),23)</f>
        <v>23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IFERROR(__xludf.DUMMYFUNCTION("IMPORTRANGE(""https://docs.google.com/spreadsheets/d/1QqKyyYR6Q21VydFLVH3TRQUabQu_ym0Zz7PgGX0-kHA/edit?usp=sharing"",""แผน!IG70"")"),0)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IFERROR(__xludf.DUMMYFUNCTION("IMPORTRANGE(""https://docs.google.com/spreadsheets/d/1QqKyyYR6Q21VydFLVH3TRQUabQu_ym0Zz7PgGX0-kHA/edit?usp=sharing"",""แผน!IH70"")"),0)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IFERROR(__xludf.DUMMYFUNCTION("IMPORTRANGE(""https://docs.google.com/spreadsheets/d/1XWAQStnk-4SwqDmLtmXYiTMKHgktTP8We1SCoS47DrQ/edit?usp=sharing"",""จัดที่ดิน!BF70"")"),0)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IFERROR(__xludf.DUMMYFUNCTION("IMPORTRANGE(""https://docs.google.com/spreadsheets/d/1XWAQStnk-4SwqDmLtmXYiTMKHgktTP8We1SCoS47DrQ/edit?usp=sharing"",""จัดที่ดิน!BG70"")"),0)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IFERROR(__xludf.DUMMYFUNCTION("IMPORTRANGE(""https://docs.google.com/spreadsheets/d/1QqKyyYR6Q21VydFLVH3TRQUabQu_ym0Zz7PgGX0-kHA/edit?usp=sharing"",""แผน!II70"")"),200)</f>
        <v>200</v>
      </c>
      <c r="J720" s="37">
        <f ca="1">IFERROR(__xludf.DUMMYFUNCTION("IMPORTRANGE(""https://docs.google.com/spreadsheets/d/1XWAQStnk-4SwqDmLtmXYiTMKHgktTP8We1SCoS47DrQ/edit?usp=sharing"",""จัดที่ดิน!BH70"")"),0)</f>
        <v>0</v>
      </c>
      <c r="K720" s="38">
        <f t="shared" ref="K720:K723" ca="1" si="290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IFERROR(__xludf.DUMMYFUNCTION("IMPORTRANGE(""https://docs.google.com/spreadsheets/d/1QqKyyYR6Q21VydFLVH3TRQUabQu_ym0Zz7PgGX0-kHA/edit?usp=sharing"",""แผน!IJ70"")"),15)</f>
        <v>15</v>
      </c>
      <c r="J721" s="190">
        <f ca="1">J723+J726</f>
        <v>0</v>
      </c>
      <c r="K721" s="191">
        <f t="shared" ca="1" si="290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IFERROR(__xludf.DUMMYFUNCTION("IMPORTRANGE(""https://docs.google.com/spreadsheets/d/1QqKyyYR6Q21VydFLVH3TRQUabQu_ym0Zz7PgGX0-kHA/edit?usp=sharing"",""แผน!IK70"")"),150)</f>
        <v>150</v>
      </c>
      <c r="J722" s="190">
        <f ca="1">J725+J728</f>
        <v>0</v>
      </c>
      <c r="K722" s="191">
        <f t="shared" ca="1" si="290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IFERROR(__xludf.DUMMYFUNCTION("IMPORTRANGE(""https://docs.google.com/spreadsheets/d/1QqKyyYR6Q21VydFLVH3TRQUabQu_ym0Zz7PgGX0-kHA/edit?usp=sharing"",""แผน!IL70"")"),15)</f>
        <v>15</v>
      </c>
      <c r="J723" s="37">
        <f ca="1">IFERROR(__xludf.DUMMYFUNCTION("IMPORTRANGE(""https://docs.google.com/spreadsheets/d/1XWAQStnk-4SwqDmLtmXYiTMKHgktTP8We1SCoS47DrQ/edit?usp=sharing"",""จัดที่ดิน!BM70"")"),0)</f>
        <v>0</v>
      </c>
      <c r="K723" s="38">
        <f t="shared" ca="1" si="290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IFERROR(__xludf.DUMMYFUNCTION("IMPORTRANGE(""https://docs.google.com/spreadsheets/d/1XWAQStnk-4SwqDmLtmXYiTMKHgktTP8We1SCoS47DrQ/edit?usp=sharing"",""จัดที่ดิน!BN70"")"),0)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IFERROR(__xludf.DUMMYFUNCTION("IMPORTRANGE(""https://docs.google.com/spreadsheets/d/1QqKyyYR6Q21VydFLVH3TRQUabQu_ym0Zz7PgGX0-kHA/edit?usp=sharing"",""แผน!IM70"")"),150)</f>
        <v>150</v>
      </c>
      <c r="J725" s="37">
        <f ca="1">IFERROR(__xludf.DUMMYFUNCTION("IMPORTRANGE(""https://docs.google.com/spreadsheets/d/1XWAQStnk-4SwqDmLtmXYiTMKHgktTP8We1SCoS47DrQ/edit?usp=sharing"",""จัดที่ดิน!BO70"")"),0)</f>
        <v>0</v>
      </c>
      <c r="K725" s="38">
        <f t="shared" ref="K725:K726" ca="1" si="291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IFERROR(__xludf.DUMMYFUNCTION("IMPORTRANGE(""https://docs.google.com/spreadsheets/d/1QqKyyYR6Q21VydFLVH3TRQUabQu_ym0Zz7PgGX0-kHA/edit?usp=sharing"",""แผน!IN70"")"),0)</f>
        <v>0</v>
      </c>
      <c r="J726" s="37">
        <f ca="1">IFERROR(__xludf.DUMMYFUNCTION("IMPORTRANGE(""https://docs.google.com/spreadsheets/d/1XWAQStnk-4SwqDmLtmXYiTMKHgktTP8We1SCoS47DrQ/edit?usp=sharing"",""จัดที่ดิน!BR70"")"),0)</f>
        <v>0</v>
      </c>
      <c r="K726" s="38">
        <f t="shared" ca="1" si="291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IFERROR(__xludf.DUMMYFUNCTION("IMPORTRANGE(""https://docs.google.com/spreadsheets/d/1XWAQStnk-4SwqDmLtmXYiTMKHgktTP8We1SCoS47DrQ/edit?usp=sharing"",""จัดที่ดิน!BS70"")"),0)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IFERROR(__xludf.DUMMYFUNCTION("IMPORTRANGE(""https://docs.google.com/spreadsheets/d/1QqKyyYR6Q21VydFLVH3TRQUabQu_ym0Zz7PgGX0-kHA/edit?usp=sharing"",""แผน!IO70"")"),0)</f>
        <v>0</v>
      </c>
      <c r="J728" s="37">
        <f ca="1">IFERROR(__xludf.DUMMYFUNCTION("IMPORTRANGE(""https://docs.google.com/spreadsheets/d/1XWAQStnk-4SwqDmLtmXYiTMKHgktTP8We1SCoS47DrQ/edit?usp=sharing"",""จัดที่ดิน!BT70"")"),0)</f>
        <v>0</v>
      </c>
      <c r="K728" s="38">
        <f t="shared" ref="K728:K729" ca="1" si="292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IFERROR(__xludf.DUMMYFUNCTION("IMPORTRANGE(""https://docs.google.com/spreadsheets/d/1QqKyyYR6Q21VydFLVH3TRQUabQu_ym0Zz7PgGX0-kHA/edit?usp=sharing"",""แผน!IP70"")"),0)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3">L738+L739</f>
        <v>0</v>
      </c>
      <c r="M737" s="598">
        <f t="shared" si="293"/>
        <v>0</v>
      </c>
      <c r="N737" s="598">
        <f t="shared" si="293"/>
        <v>0</v>
      </c>
      <c r="O737" s="598">
        <f t="shared" ref="O737:O742" si="294">IF(L737&gt;0,N737*100/L737,0)</f>
        <v>0</v>
      </c>
      <c r="P737" s="598">
        <f t="shared" ref="P737:P742" si="295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7">L741+L742</f>
        <v>0</v>
      </c>
      <c r="M740" s="598">
        <f t="shared" si="297"/>
        <v>0</v>
      </c>
      <c r="N740" s="598">
        <f t="shared" si="297"/>
        <v>0</v>
      </c>
      <c r="O740" s="598">
        <f t="shared" si="294"/>
        <v>0</v>
      </c>
      <c r="P740" s="598">
        <f t="shared" si="295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8">L748+L749</f>
        <v>0</v>
      </c>
      <c r="M747" s="598">
        <f t="shared" si="298"/>
        <v>0</v>
      </c>
      <c r="N747" s="598">
        <f t="shared" si="298"/>
        <v>0</v>
      </c>
      <c r="O747" s="598">
        <f t="shared" ref="O747:O749" si="299">IF(L747&gt;0,N747*100/L747,0)</f>
        <v>0</v>
      </c>
      <c r="P747" s="598">
        <f t="shared" ref="P747:P749" si="300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1">L755+L756</f>
        <v>0</v>
      </c>
      <c r="M754" s="598">
        <f t="shared" si="301"/>
        <v>0</v>
      </c>
      <c r="N754" s="598">
        <f t="shared" si="301"/>
        <v>0</v>
      </c>
      <c r="O754" s="598">
        <f t="shared" ref="O754:O759" si="302">IF(L754&gt;0,N754*100/L754,0)</f>
        <v>0</v>
      </c>
      <c r="P754" s="598">
        <f t="shared" ref="P754:P759" si="303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5">L758+L759</f>
        <v>0</v>
      </c>
      <c r="M757" s="598">
        <f t="shared" si="305"/>
        <v>0</v>
      </c>
      <c r="N757" s="598">
        <f t="shared" si="305"/>
        <v>0</v>
      </c>
      <c r="O757" s="598">
        <f t="shared" si="302"/>
        <v>0</v>
      </c>
      <c r="P757" s="598">
        <f t="shared" si="303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6">L765+L766</f>
        <v>0</v>
      </c>
      <c r="M764" s="598">
        <f t="shared" si="306"/>
        <v>0</v>
      </c>
      <c r="N764" s="598">
        <f t="shared" si="306"/>
        <v>0</v>
      </c>
      <c r="O764" s="598">
        <f t="shared" ref="O764:O766" si="307">IF(L764&gt;0,N764*100/L764,0)</f>
        <v>0</v>
      </c>
      <c r="P764" s="598">
        <f t="shared" ref="P764:P766" si="308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09">L771+L772</f>
        <v>0</v>
      </c>
      <c r="M770" s="598">
        <f t="shared" si="309"/>
        <v>0</v>
      </c>
      <c r="N770" s="598">
        <f t="shared" si="309"/>
        <v>0</v>
      </c>
      <c r="O770" s="598">
        <f t="shared" ref="O770:O775" si="310">IF(L770&gt;0,N770*100/L770,0)</f>
        <v>0</v>
      </c>
      <c r="P770" s="598">
        <f t="shared" ref="P770:P775" si="311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3">L774+L775</f>
        <v>0</v>
      </c>
      <c r="M773" s="598">
        <f t="shared" si="313"/>
        <v>0</v>
      </c>
      <c r="N773" s="598">
        <f t="shared" si="313"/>
        <v>0</v>
      </c>
      <c r="O773" s="598">
        <f t="shared" si="310"/>
        <v>0</v>
      </c>
      <c r="P773" s="598">
        <f t="shared" si="311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4">L781+L782</f>
        <v>0</v>
      </c>
      <c r="M780" s="598">
        <f t="shared" si="314"/>
        <v>0</v>
      </c>
      <c r="N780" s="598">
        <f t="shared" si="314"/>
        <v>0</v>
      </c>
      <c r="O780" s="598">
        <f t="shared" ref="O780:O782" si="315">IF(L780&gt;0,N780*100/L780,0)</f>
        <v>0</v>
      </c>
      <c r="P780" s="598">
        <f t="shared" ref="P780:P782" si="316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7">I800</f>
        <v>0</v>
      </c>
      <c r="J785" s="825">
        <f t="shared" ca="1" si="317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IFERROR(__xludf.DUMMYFUNCTION("IMPORTRANGE(""https://docs.google.com/spreadsheets/d/1QqKyyYR6Q21VydFLVH3TRQUabQu_ym0Zz7PgGX0-kHA/edit?usp=sharing"",""แผน!JJ70"")"),0)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IFERROR(__xludf.DUMMYFUNCTION("IMPORTRANGE(""https://docs.google.com/spreadsheets/d/1QqKyyYR6Q21VydFLVH3TRQUabQu_ym0Zz7PgGX0-kHA/edit?usp=sharing"",""แผน!JN70"")"),0)</f>
        <v>0</v>
      </c>
      <c r="J800" s="161">
        <f ca="1">IFERROR(__xludf.DUMMYFUNCTION("IMPORTRANGE(""https://docs.google.com/spreadsheets/d/1MaWodYyGHDf7siQLGxnXhG4mBNTNIuy296niS2xXulU/edit?usp=sharing"",""RTK!H70"")"),0)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IFERROR(__xludf.DUMMYFUNCTION("IMPORTRANGE(""https://docs.google.com/spreadsheets/d/1MaWodYyGHDf7siQLGxnXhG4mBNTNIuy296niS2xXulU/edit?usp=sharing"",""RTK!I70"")"),0)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6">L806+L807</f>
        <v>0</v>
      </c>
      <c r="M805" s="598">
        <f t="shared" si="326"/>
        <v>0</v>
      </c>
      <c r="N805" s="598">
        <f t="shared" si="326"/>
        <v>0</v>
      </c>
      <c r="O805" s="598">
        <f t="shared" ref="O805:O810" si="327">IF(L805&gt;0,N805*100/L805,0)</f>
        <v>0</v>
      </c>
      <c r="P805" s="598">
        <f t="shared" ref="P805:P810" si="328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0">L809+L810</f>
        <v>0</v>
      </c>
      <c r="M808" s="598">
        <f t="shared" si="330"/>
        <v>0</v>
      </c>
      <c r="N808" s="598">
        <f t="shared" si="330"/>
        <v>0</v>
      </c>
      <c r="O808" s="598">
        <f t="shared" si="327"/>
        <v>0</v>
      </c>
      <c r="P808" s="598">
        <f t="shared" si="328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1">L816+L817</f>
        <v>0</v>
      </c>
      <c r="M815" s="598">
        <f t="shared" si="331"/>
        <v>0</v>
      </c>
      <c r="N815" s="598">
        <f t="shared" si="331"/>
        <v>0</v>
      </c>
      <c r="O815" s="598">
        <f t="shared" ref="O815:O817" si="332">IF(L815&gt;0,N815*100/L815,0)</f>
        <v>0</v>
      </c>
      <c r="P815" s="598">
        <f t="shared" ref="P815:P817" si="333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37">
        <f ca="1">IFERROR(__xludf.DUMMYFUNCTION("IMPORTRANGE(""https://docs.google.com/spreadsheets/d/19vJNZY_5yjcGF2XGBMNZRCAIB0Kwfpjp8YEOfu-bneM/edit?usp=sharing"",""งานกองทุน!F70"")"),1077021.68)</f>
        <v>1077021.68</v>
      </c>
      <c r="K821" s="38">
        <f t="shared" ref="K821:K828" ca="1" si="334">IF(I821&gt;0,J821*100/I821,0)</f>
        <v>44.936029425806169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IFERROR(__xludf.DUMMYFUNCTION("IMPORTRANGE(""https://docs.google.com/spreadsheets/d/19vJNZY_5yjcGF2XGBMNZRCAIB0Kwfpjp8YEOfu-bneM/edit?usp=sharing"",""งานกองทุน!C70"")"),174)</f>
        <v>174</v>
      </c>
      <c r="J822" s="37">
        <f ca="1">IFERROR(__xludf.DUMMYFUNCTION("IMPORTRANGE(""https://docs.google.com/spreadsheets/d/19vJNZY_5yjcGF2XGBMNZRCAIB0Kwfpjp8YEOfu-bneM/edit?usp=sharing"",""งานกองทุน!E70"")"),72)</f>
        <v>72</v>
      </c>
      <c r="K822" s="38">
        <f t="shared" ca="1" si="334"/>
        <v>41.379310344827587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37">
        <f ca="1">IFERROR(__xludf.DUMMYFUNCTION("IMPORTRANGE(""https://docs.google.com/spreadsheets/d/19vJNZY_5yjcGF2XGBMNZRCAIB0Kwfpjp8YEOfu-bneM/edit?usp=sharing"",""งานกองทุน!K70"")"),746439.83)</f>
        <v>746439.83</v>
      </c>
      <c r="K823" s="38">
        <f t="shared" ca="1" si="334"/>
        <v>4.3996772318149704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IFERROR(__xludf.DUMMYFUNCTION("IMPORTRANGE(""https://docs.google.com/spreadsheets/d/19vJNZY_5yjcGF2XGBMNZRCAIB0Kwfpjp8YEOfu-bneM/edit?usp=sharing"",""งานกองทุน!H70"")"),254)</f>
        <v>254</v>
      </c>
      <c r="J824" s="37">
        <f ca="1">IFERROR(__xludf.DUMMYFUNCTION("IMPORTRANGE(""https://docs.google.com/spreadsheets/d/19vJNZY_5yjcGF2XGBMNZRCAIB0Kwfpjp8YEOfu-bneM/edit?usp=sharing"",""งานกองทุน!J70"")"),69)</f>
        <v>69</v>
      </c>
      <c r="K824" s="38">
        <f t="shared" ca="1" si="334"/>
        <v>27.165354330708663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37">
        <f ca="1">IFERROR(__xludf.DUMMYFUNCTION("IMPORTRANGE(""https://docs.google.com/spreadsheets/d/19vJNZY_5yjcGF2XGBMNZRCAIB0Kwfpjp8YEOfu-bneM/edit?usp=sharing"",""งานกองทุน!P70"")"),233512.73)</f>
        <v>233512.73</v>
      </c>
      <c r="K825" s="38">
        <f t="shared" ca="1" si="334"/>
        <v>9.763282653620756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IFERROR(__xludf.DUMMYFUNCTION("IMPORTRANGE(""https://docs.google.com/spreadsheets/d/19vJNZY_5yjcGF2XGBMNZRCAIB0Kwfpjp8YEOfu-bneM/edit?usp=sharing"",""งานกองทุน!M70"")"),88)</f>
        <v>88</v>
      </c>
      <c r="J826" s="37">
        <f ca="1">IFERROR(__xludf.DUMMYFUNCTION("IMPORTRANGE(""https://docs.google.com/spreadsheets/d/19vJNZY_5yjcGF2XGBMNZRCAIB0Kwfpjp8YEOfu-bneM/edit?usp=sharing"",""งานกองทุน!O70"")"),119)</f>
        <v>119</v>
      </c>
      <c r="K826" s="38">
        <f t="shared" ca="1" si="334"/>
        <v>135.22727272727272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IFERROR(__xludf.DUMMYFUNCTION("IMPORTRANGE(""https://docs.google.com/spreadsheets/d/19vJNZY_5yjcGF2XGBMNZRCAIB0Kwfpjp8YEOfu-bneM/edit?usp=sharing"",""งานกองทุน!S70"")"),4030000)</f>
        <v>4030000</v>
      </c>
      <c r="J827" s="37">
        <f ca="1">IFERROR(__xludf.DUMMYFUNCTION("IMPORTRANGE(""https://docs.google.com/spreadsheets/d/19vJNZY_5yjcGF2XGBMNZRCAIB0Kwfpjp8YEOfu-bneM/edit?usp=sharing"",""งานกองทุน!U70"")"),0)</f>
        <v>0</v>
      </c>
      <c r="K827" s="38">
        <f t="shared" ca="1" si="334"/>
        <v>0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IFERROR(__xludf.DUMMYFUNCTION("IMPORTRANGE(""https://docs.google.com/spreadsheets/d/19vJNZY_5yjcGF2XGBMNZRCAIB0Kwfpjp8YEOfu-bneM/edit?usp=sharing"",""งานกองทุน!R70"")"),161)</f>
        <v>161</v>
      </c>
      <c r="J828" s="365">
        <f ca="1">IFERROR(__xludf.DUMMYFUNCTION("IMPORTRANGE(""https://docs.google.com/spreadsheets/d/19vJNZY_5yjcGF2XGBMNZRCAIB0Kwfpjp8YEOfu-bneM/edit?usp=sharing"",""งานกองทุน!T70"")"),0)</f>
        <v>0</v>
      </c>
      <c r="K828" s="472">
        <f t="shared" ca="1" si="334"/>
        <v>0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2A09-C781-42F6-9A39-CB00CB9A66E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330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98" t="s">
        <v>362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9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8400157.6899999995</v>
      </c>
      <c r="N8" s="22">
        <f t="shared" ca="1" si="0"/>
        <v>5723811.8499999996</v>
      </c>
      <c r="O8" s="22">
        <f t="shared" ref="O8:O16" ca="1" si="1">IF(L8&gt;0,N8*100/L8,0)</f>
        <v>71.981634396480686</v>
      </c>
      <c r="P8" s="22">
        <f t="shared" ref="P8:P16" ca="1" si="2">IF(M8&gt;0,N8*100/M8,0)</f>
        <v>68.139338108068301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8400157.6899999995</v>
      </c>
      <c r="N10" s="30">
        <f t="shared" ca="1" si="3"/>
        <v>5723811.8499999996</v>
      </c>
      <c r="O10" s="30">
        <f t="shared" ca="1" si="1"/>
        <v>71.981634396480686</v>
      </c>
      <c r="P10" s="30">
        <f t="shared" ca="1" si="2"/>
        <v>68.139338108068301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7370567</v>
      </c>
      <c r="M11" s="38">
        <f t="shared" ca="1" si="4"/>
        <v>7858557.6899999995</v>
      </c>
      <c r="N11" s="38">
        <f t="shared" ca="1" si="4"/>
        <v>5182211.8499999996</v>
      </c>
      <c r="O11" s="38">
        <f t="shared" ca="1" si="1"/>
        <v>70.309541314799787</v>
      </c>
      <c r="P11" s="38">
        <f t="shared" ca="1" si="2"/>
        <v>65.943549114544965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7370567</v>
      </c>
      <c r="M13" s="45">
        <f t="shared" ca="1" si="5"/>
        <v>7858557.6899999995</v>
      </c>
      <c r="N13" s="45">
        <f t="shared" ca="1" si="5"/>
        <v>5182211.8499999996</v>
      </c>
      <c r="O13" s="45">
        <f t="shared" ca="1" si="1"/>
        <v>70.309541314799787</v>
      </c>
      <c r="P13" s="45">
        <f t="shared" ca="1" si="2"/>
        <v>65.943549114544965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581200</v>
      </c>
      <c r="M14" s="38">
        <f t="shared" ca="1" si="6"/>
        <v>541600</v>
      </c>
      <c r="N14" s="38">
        <f t="shared" ca="1" si="6"/>
        <v>541600</v>
      </c>
      <c r="O14" s="38">
        <f t="shared" ca="1" si="1"/>
        <v>93.186510667584315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4826896.6899999995</v>
      </c>
      <c r="N18" s="22">
        <f t="shared" ca="1" si="8"/>
        <v>4015896.62</v>
      </c>
      <c r="O18" s="22">
        <f t="shared" ref="O18:O26" ca="1" si="9">IF(L18&gt;0,N18*100/L18,0)</f>
        <v>91.718422219816532</v>
      </c>
      <c r="P18" s="22">
        <f t="shared" ref="P18:P26" ca="1" si="10">IF(M18&gt;0,N18*100/M18,0)</f>
        <v>83.198313075973473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4826896.6899999995</v>
      </c>
      <c r="N20" s="30">
        <f t="shared" ca="1" si="11"/>
        <v>4015896.62</v>
      </c>
      <c r="O20" s="30">
        <f t="shared" ca="1" si="9"/>
        <v>91.718422219816532</v>
      </c>
      <c r="P20" s="30">
        <f t="shared" ca="1" si="10"/>
        <v>83.198313075973473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3797306</v>
      </c>
      <c r="M21" s="38">
        <f t="shared" ca="1" si="12"/>
        <v>4285296.6899999995</v>
      </c>
      <c r="N21" s="38">
        <f t="shared" ca="1" si="12"/>
        <v>3474296.62</v>
      </c>
      <c r="O21" s="38">
        <f t="shared" ca="1" si="9"/>
        <v>91.493722654955903</v>
      </c>
      <c r="P21" s="38">
        <f t="shared" ca="1" si="10"/>
        <v>81.074820982815083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3797306</v>
      </c>
      <c r="M23" s="45">
        <f t="shared" ca="1" si="13"/>
        <v>4285296.6899999995</v>
      </c>
      <c r="N23" s="45">
        <f t="shared" ca="1" si="13"/>
        <v>3474296.62</v>
      </c>
      <c r="O23" s="45">
        <f t="shared" ca="1" si="9"/>
        <v>91.493722654955903</v>
      </c>
      <c r="P23" s="45">
        <f t="shared" ca="1" si="10"/>
        <v>81.074820982815083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581200</v>
      </c>
      <c r="M24" s="38">
        <f t="shared" ca="1" si="14"/>
        <v>541600</v>
      </c>
      <c r="N24" s="38">
        <f t="shared" ca="1" si="14"/>
        <v>541600</v>
      </c>
      <c r="O24" s="38">
        <f t="shared" ca="1" si="9"/>
        <v>93.186510667584315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1707915.23</v>
      </c>
      <c r="O28" s="22">
        <f t="shared" ref="O28:O37" ca="1" si="17">IF(L28&gt;0,N28*100/L28,0)</f>
        <v>47.797102702545381</v>
      </c>
      <c r="P28" s="22">
        <f t="shared" ref="P28:P37" ca="1" si="18">IF(M28&gt;0,N28*100/M28,0)</f>
        <v>47.797102702545381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1707915.23</v>
      </c>
      <c r="O30" s="30">
        <f t="shared" ca="1" si="17"/>
        <v>47.797102702545381</v>
      </c>
      <c r="P30" s="30">
        <f t="shared" ca="1" si="18"/>
        <v>47.797102702545381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3573261</v>
      </c>
      <c r="M31" s="38">
        <f t="shared" ca="1" si="20"/>
        <v>3573261</v>
      </c>
      <c r="N31" s="38">
        <f t="shared" si="20"/>
        <v>1707915.23</v>
      </c>
      <c r="O31" s="38">
        <f t="shared" ca="1" si="17"/>
        <v>47.797102702545381</v>
      </c>
      <c r="P31" s="38">
        <f t="shared" ca="1" si="18"/>
        <v>47.797102702545381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3573261</v>
      </c>
      <c r="M33" s="45">
        <f t="shared" ca="1" si="21"/>
        <v>3573261</v>
      </c>
      <c r="N33" s="45">
        <f t="shared" si="21"/>
        <v>1707915.23</v>
      </c>
      <c r="O33" s="45">
        <f t="shared" ca="1" si="17"/>
        <v>47.797102702545381</v>
      </c>
      <c r="P33" s="45">
        <f t="shared" ca="1" si="18"/>
        <v>47.797102702545381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4826896.6899999995</v>
      </c>
      <c r="N37" s="59">
        <f t="shared" ca="1" si="24"/>
        <v>4015896.62</v>
      </c>
      <c r="O37" s="59">
        <f t="shared" ca="1" si="17"/>
        <v>91.718422219816532</v>
      </c>
      <c r="P37" s="59">
        <f t="shared" ca="1" si="18"/>
        <v>83.198313075973473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706936.69</v>
      </c>
      <c r="N41" s="85">
        <f t="shared" ca="1" si="25"/>
        <v>519060</v>
      </c>
      <c r="O41" s="85">
        <f t="shared" ref="O41:O49" ca="1" si="26">IF(L41&gt;0,N41*100/L41,0)</f>
        <v>98.897581385777926</v>
      </c>
      <c r="P41" s="85">
        <f t="shared" ref="P41:P49" ca="1" si="27">IF(M41&gt;0,N41*100/M41,0)</f>
        <v>73.423830923247181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706936.69</v>
      </c>
      <c r="N43" s="92">
        <f t="shared" ca="1" si="28"/>
        <v>519060</v>
      </c>
      <c r="O43" s="92">
        <f t="shared" ca="1" si="26"/>
        <v>98.897581385777926</v>
      </c>
      <c r="P43" s="92">
        <f t="shared" ca="1" si="27"/>
        <v>73.423830923247181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524846</v>
      </c>
      <c r="M44" s="38">
        <f t="shared" ca="1" si="29"/>
        <v>706936.69</v>
      </c>
      <c r="N44" s="38">
        <f t="shared" ca="1" si="29"/>
        <v>519060</v>
      </c>
      <c r="O44" s="38">
        <f t="shared" ca="1" si="26"/>
        <v>98.897581385777926</v>
      </c>
      <c r="P44" s="38">
        <f t="shared" ca="1" si="27"/>
        <v>73.423830923247181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IFERROR(__xludf.DUMMYFUNCTION("IMPORTRANGE(""https://docs.google.com/spreadsheets/d/1MeEWN-I1oV_STSDYn1IFDPWt_1FKiwhDph83XaGc0o0/edit?usp=sharing"",""งบพรบ!M53"")"),524846)</f>
        <v>524846</v>
      </c>
      <c r="M46" s="45">
        <f ca="1">IFERROR(__xludf.DUMMYFUNCTION("IMPORTRANGE(""https://docs.google.com/spreadsheets/d/1MeEWN-I1oV_STSDYn1IFDPWt_1FKiwhDph83XaGc0o0/edit?usp=sharing"",""งบพรบ!R53"")"),706936.69)</f>
        <v>706936.69</v>
      </c>
      <c r="N46" s="45">
        <f ca="1">IFERROR(__xludf.DUMMYFUNCTION("IMPORTRANGE(""https://docs.google.com/spreadsheets/d/1MeEWN-I1oV_STSDYn1IFDPWt_1FKiwhDph83XaGc0o0/edit?usp=sharing"",""งบพรบ!T53"")"),519060)</f>
        <v>519060</v>
      </c>
      <c r="O46" s="45">
        <f t="shared" ca="1" si="26"/>
        <v>98.897581385777926</v>
      </c>
      <c r="P46" s="45">
        <f t="shared" ca="1" si="27"/>
        <v>73.423830923247181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1449800</v>
      </c>
      <c r="M53" s="115">
        <f t="shared" ca="1" si="31"/>
        <v>1410200</v>
      </c>
      <c r="N53" s="115">
        <f t="shared" ca="1" si="31"/>
        <v>1316899.6200000001</v>
      </c>
      <c r="O53" s="115">
        <f t="shared" ref="O53:O61" ca="1" si="32">IF(L53&gt;0,N53*100/L53,0)</f>
        <v>90.833192164436483</v>
      </c>
      <c r="P53" s="115">
        <f t="shared" ref="P53:P61" ca="1" si="33">IF(M53&gt;0,N53*100/M53,0)</f>
        <v>93.383890228336412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1449800</v>
      </c>
      <c r="M55" s="122">
        <f t="shared" ca="1" si="34"/>
        <v>1410200</v>
      </c>
      <c r="N55" s="122">
        <f t="shared" ca="1" si="34"/>
        <v>1316899.6200000001</v>
      </c>
      <c r="O55" s="122">
        <f t="shared" ca="1" si="32"/>
        <v>90.833192164436483</v>
      </c>
      <c r="P55" s="122">
        <f t="shared" ca="1" si="33"/>
        <v>93.383890228336412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989200</v>
      </c>
      <c r="M56" s="38">
        <f t="shared" ca="1" si="35"/>
        <v>989200</v>
      </c>
      <c r="N56" s="38">
        <f t="shared" ca="1" si="35"/>
        <v>895899.62</v>
      </c>
      <c r="O56" s="38">
        <f t="shared" ca="1" si="32"/>
        <v>90.568097452486853</v>
      </c>
      <c r="P56" s="38">
        <f t="shared" ca="1" si="33"/>
        <v>90.568097452486853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IFERROR(__xludf.DUMMYFUNCTION("IMPORTRANGE(""https://docs.google.com/spreadsheets/d/1MeEWN-I1oV_STSDYn1IFDPWt_1FKiwhDph83XaGc0o0/edit?usp=sharing"",""งบพรบ!W53"")"),989200)</f>
        <v>989200</v>
      </c>
      <c r="M58" s="45">
        <f ca="1">IFERROR(__xludf.DUMMYFUNCTION("IMPORTRANGE(""https://docs.google.com/spreadsheets/d/1MeEWN-I1oV_STSDYn1IFDPWt_1FKiwhDph83XaGc0o0/edit?usp=sharing"",""งบพรบ!AB53"")"),989200)</f>
        <v>989200</v>
      </c>
      <c r="N58" s="45">
        <f ca="1">IFERROR(__xludf.DUMMYFUNCTION("IMPORTRANGE(""https://docs.google.com/spreadsheets/d/1MeEWN-I1oV_STSDYn1IFDPWt_1FKiwhDph83XaGc0o0/edit?usp=sharing"",""งบพรบ!AD53"")"),895899.62)</f>
        <v>895899.62</v>
      </c>
      <c r="O58" s="45">
        <f t="shared" ca="1" si="32"/>
        <v>90.568097452486853</v>
      </c>
      <c r="P58" s="45">
        <f t="shared" ca="1" si="33"/>
        <v>90.568097452486853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460600</v>
      </c>
      <c r="M59" s="38">
        <f t="shared" ca="1" si="36"/>
        <v>421000</v>
      </c>
      <c r="N59" s="38">
        <f t="shared" ca="1" si="36"/>
        <v>421000</v>
      </c>
      <c r="O59" s="38">
        <f t="shared" ca="1" si="32"/>
        <v>91.402518454190187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IFERROR(__xludf.DUMMYFUNCTION("IMPORTRANGE(""https://docs.google.com/spreadsheets/d/1MeEWN-I1oV_STSDYn1IFDPWt_1FKiwhDph83XaGc0o0/edit?usp=sharing"",""งบพรบ!AG53"")"),0)</f>
        <v>0</v>
      </c>
      <c r="M71" s="45">
        <f ca="1">IFERROR(__xludf.DUMMYFUNCTION("IMPORTRANGE(""https://docs.google.com/spreadsheets/d/1MeEWN-I1oV_STSDYn1IFDPWt_1FKiwhDph83XaGc0o0/edit?usp=sharing"",""งบพรบ!AL53"")"),0)</f>
        <v>0</v>
      </c>
      <c r="N71" s="45">
        <f ca="1">IFERROR(__xludf.DUMMYFUNCTION("IMPORTRANGE(""https://docs.google.com/spreadsheets/d/1MeEWN-I1oV_STSDYn1IFDPWt_1FKiwhDph83XaGc0o0/edit?usp=sharing"",""งบพรบ!AN53"")"),0)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IFERROR(__xludf.DUMMYFUNCTION("IMPORTRANGE(""https://docs.google.com/spreadsheets/d/1MeEWN-I1oV_STSDYn1IFDPWt_1FKiwhDph83XaGc0o0/edit?usp=sharing"",""งบพรบ!AJ53"")"),0)</f>
        <v>0</v>
      </c>
      <c r="M74" s="45">
        <f ca="1">IFERROR(__xludf.DUMMYFUNCTION("IMPORTRANGE(""https://docs.google.com/spreadsheets/d/1MeEWN-I1oV_STSDYn1IFDPWt_1FKiwhDph83XaGc0o0/edit?usp=sharing"",""งบพรบ!AM53"")"),0)</f>
        <v>0</v>
      </c>
      <c r="N74" s="45">
        <f ca="1">IFERROR(__xludf.DUMMYFUNCTION("IMPORTRANGE(""https://docs.google.com/spreadsheets/d/1MeEWN-I1oV_STSDYn1IFDPWt_1FKiwhDph83XaGc0o0/edit?usp=sharing"",""งบพรบ!AO53"")"),0)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IFERROR(__xludf.DUMMYFUNCTION("IMPORTRANGE(""https://docs.google.com/spreadsheets/d/1QqKyyYR6Q21VydFLVH3TRQUabQu_ym0Zz7PgGX0-kHA/edit?usp=sharing"",""แผน!J53"")"),0)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86340</v>
      </c>
      <c r="M88" s="154">
        <f t="shared" ca="1" si="49"/>
        <v>86340</v>
      </c>
      <c r="N88" s="154">
        <f t="shared" ca="1" si="49"/>
        <v>51840</v>
      </c>
      <c r="O88" s="154">
        <f t="shared" ref="O88:O96" ca="1" si="50">IF(L88&gt;0,N88*100/L88,0)</f>
        <v>60.041695621959697</v>
      </c>
      <c r="P88" s="154">
        <f t="shared" ref="P88:P96" ca="1" si="51">IF(M88&gt;0,N88*100/M88,0)</f>
        <v>60.041695621959697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86340</v>
      </c>
      <c r="M90" s="45">
        <f t="shared" ca="1" si="52"/>
        <v>86340</v>
      </c>
      <c r="N90" s="45">
        <f t="shared" ca="1" si="52"/>
        <v>51840</v>
      </c>
      <c r="O90" s="45">
        <f t="shared" ca="1" si="50"/>
        <v>60.041695621959697</v>
      </c>
      <c r="P90" s="45">
        <f t="shared" ca="1" si="51"/>
        <v>60.041695621959697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86340</v>
      </c>
      <c r="M91" s="38">
        <f t="shared" ca="1" si="53"/>
        <v>86340</v>
      </c>
      <c r="N91" s="38">
        <f t="shared" ca="1" si="53"/>
        <v>51840</v>
      </c>
      <c r="O91" s="38">
        <f t="shared" ca="1" si="50"/>
        <v>60.041695621959697</v>
      </c>
      <c r="P91" s="38">
        <f t="shared" ca="1" si="51"/>
        <v>60.041695621959697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IFERROR(__xludf.DUMMYFUNCTION("IMPORTRANGE(""https://docs.google.com/spreadsheets/d/1MeEWN-I1oV_STSDYn1IFDPWt_1FKiwhDph83XaGc0o0/edit?usp=sharing"",""งบพรบ!AQ53"")"),86340)</f>
        <v>86340</v>
      </c>
      <c r="M93" s="45">
        <f ca="1">IFERROR(__xludf.DUMMYFUNCTION("IMPORTRANGE(""https://docs.google.com/spreadsheets/d/1MeEWN-I1oV_STSDYn1IFDPWt_1FKiwhDph83XaGc0o0/edit?usp=sharing"",""งบพรบ!AV53"")"),86340)</f>
        <v>86340</v>
      </c>
      <c r="N93" s="45">
        <f ca="1">IFERROR(__xludf.DUMMYFUNCTION("IMPORTRANGE(""https://docs.google.com/spreadsheets/d/1MeEWN-I1oV_STSDYn1IFDPWt_1FKiwhDph83XaGc0o0/edit?usp=sharing"",""งบพรบ!AX53"")"),51840)</f>
        <v>51840</v>
      </c>
      <c r="O93" s="45">
        <f t="shared" ca="1" si="50"/>
        <v>60.041695621959697</v>
      </c>
      <c r="P93" s="45">
        <f t="shared" ca="1" si="51"/>
        <v>60.041695621959697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IFERROR(__xludf.DUMMYFUNCTION("IMPORTRANGE(""https://docs.google.com/spreadsheets/d/1MeEWN-I1oV_STSDYn1IFDPWt_1FKiwhDph83XaGc0o0/edit?usp=sharing"",""งบพรบ!AT53"")"),0)</f>
        <v>0</v>
      </c>
      <c r="M96" s="45">
        <f ca="1">IFERROR(__xludf.DUMMYFUNCTION("IMPORTRANGE(""https://docs.google.com/spreadsheets/d/1MeEWN-I1oV_STSDYn1IFDPWt_1FKiwhDph83XaGc0o0/edit?usp=sharing"",""งบพรบ!AW53"")"),0)</f>
        <v>0</v>
      </c>
      <c r="N96" s="45">
        <f ca="1">IFERROR(__xludf.DUMMYFUNCTION("IMPORTRANGE(""https://docs.google.com/spreadsheets/d/1MeEWN-I1oV_STSDYn1IFDPWt_1FKiwhDph83XaGc0o0/edit?usp=sharing"",""งบพรบ!AY53"")"),0)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IFERROR(__xludf.DUMMYFUNCTION("IMPORTRANGE(""https://docs.google.com/spreadsheets/d/1QqKyyYR6Q21VydFLVH3TRQUabQu_ym0Zz7PgGX0-kHA/edit?usp=sharing"",""แผน!K53"")"),30)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IFERROR(__xludf.DUMMYFUNCTION("IMPORTRANGE(""https://docs.google.com/spreadsheets/d/1QqKyyYR6Q21VydFLVH3TRQUabQu_ym0Zz7PgGX0-kHA/edit?usp=sharing"",""แผน!L53"")"),10)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IFERROR(__xludf.DUMMYFUNCTION("IMPORTRANGE(""https://docs.google.com/spreadsheets/d/1QqKyyYR6Q21VydFLVH3TRQUabQu_ym0Zz7PgGX0-kHA/edit?usp=sharing"",""แผน!M53"")"),2)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IFERROR(__xludf.DUMMYFUNCTION("IMPORTRANGE(""https://docs.google.com/spreadsheets/d/1QqKyyYR6Q21VydFLVH3TRQUabQu_ym0Zz7PgGX0-kHA/edit?usp=sharing"",""แผน!N53"")"),30)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IFERROR(__xludf.DUMMYFUNCTION("IMPORTRANGE(""https://docs.google.com/spreadsheets/d/1QqKyyYR6Q21VydFLVH3TRQUabQu_ym0Zz7PgGX0-kHA/edit?usp=sharing"",""แผน!O53"")"),10)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IFERROR(__xludf.DUMMYFUNCTION("IMPORTRANGE(""https://docs.google.com/spreadsheets/d/1QqKyyYR6Q21VydFLVH3TRQUabQu_ym0Zz7PgGX0-kHA/edit?usp=sharing"",""แผน!O53"")"),10)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IFERROR(__xludf.DUMMYFUNCTION("IMPORTRANGE(""https://docs.google.com/spreadsheets/d/1QqKyyYR6Q21VydFLVH3TRQUabQu_ym0Zz7PgGX0-kHA/edit?usp=sharing"",""แผน!P53"")"),1)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IFERROR(__xludf.DUMMYFUNCTION("IMPORTRANGE(""https://docs.google.com/spreadsheets/d/1QqKyyYR6Q21VydFLVH3TRQUabQu_ym0Zz7PgGX0-kHA/edit?usp=sharing"",""แผน!P53"")"),1)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IFERROR(__xludf.DUMMYFUNCTION("IMPORTRANGE(""https://docs.google.com/spreadsheets/d/1QqKyyYR6Q21VydFLVH3TRQUabQu_ym0Zz7PgGX0-kHA/edit?usp=sharing"",""แผน!Q53"")"),1)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IFERROR(__xludf.DUMMYFUNCTION("IMPORTRANGE(""https://docs.google.com/spreadsheets/d/1QqKyyYR6Q21VydFLVH3TRQUabQu_ym0Zz7PgGX0-kHA/edit?usp=sharing"",""แผน!Q53"")"),1)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IFERROR(__xludf.DUMMYFUNCTION("IMPORTRANGE(""https://docs.google.com/spreadsheets/d/1QqKyyYR6Q21VydFLVH3TRQUabQu_ym0Zz7PgGX0-kHA/edit?usp=sharing"",""แผน!R53"")"),10)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IFERROR(__xludf.DUMMYFUNCTION("IMPORTRANGE(""https://docs.google.com/spreadsheets/d/1QqKyyYR6Q21VydFLVH3TRQUabQu_ym0Zz7PgGX0-kHA/edit?usp=sharing"",""แผน!R53"")"),10)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IFERROR(__xludf.DUMMYFUNCTION("IMPORTRANGE(""https://docs.google.com/spreadsheets/d/1QqKyyYR6Q21VydFLVH3TRQUabQu_ym0Zz7PgGX0-kHA/edit?usp=sharing"",""แผน!R53"")"),10)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IFERROR(__xludf.DUMMYFUNCTION("IMPORTRANGE(""https://docs.google.com/spreadsheets/d/1QqKyyYR6Q21VydFLVH3TRQUabQu_ym0Zz7PgGX0-kHA/edit?usp=sharing"",""แผน!S53"")"),1)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IFERROR(__xludf.DUMMYFUNCTION("IMPORTRANGE(""https://docs.google.com/spreadsheets/d/1QqKyyYR6Q21VydFLVH3TRQUabQu_ym0Zz7PgGX0-kHA/edit?usp=sharing"",""แผน!T53"")"),1)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IFERROR(__xludf.DUMMYFUNCTION("IMPORTRANGE(""https://docs.google.com/spreadsheets/d/1MeEWN-I1oV_STSDYn1IFDPWt_1FKiwhDph83XaGc0o0/edit?usp=sharing"",""งบพรบ!BA53"")"),0)</f>
        <v>0</v>
      </c>
      <c r="M124" s="45">
        <f ca="1">IFERROR(__xludf.DUMMYFUNCTION("IMPORTRANGE(""https://docs.google.com/spreadsheets/d/1MeEWN-I1oV_STSDYn1IFDPWt_1FKiwhDph83XaGc0o0/edit?usp=sharing"",""งบพรบ!BF53"")"),0)</f>
        <v>0</v>
      </c>
      <c r="N124" s="45">
        <f ca="1">IFERROR(__xludf.DUMMYFUNCTION("IMPORTRANGE(""https://docs.google.com/spreadsheets/d/1MeEWN-I1oV_STSDYn1IFDPWt_1FKiwhDph83XaGc0o0/edit?usp=sharing"",""งบพรบ!BH53"")"),0)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IFERROR(__xludf.DUMMYFUNCTION("IMPORTRANGE(""https://docs.google.com/spreadsheets/d/1MeEWN-I1oV_STSDYn1IFDPWt_1FKiwhDph83XaGc0o0/edit?usp=sharing"",""งบพรบ!BD53"")"),0)</f>
        <v>0</v>
      </c>
      <c r="M127" s="45">
        <f ca="1">IFERROR(__xludf.DUMMYFUNCTION("IMPORTRANGE(""https://docs.google.com/spreadsheets/d/1MeEWN-I1oV_STSDYn1IFDPWt_1FKiwhDph83XaGc0o0/edit?usp=sharing"",""งบพรบ!BG53"")"),0)</f>
        <v>0</v>
      </c>
      <c r="N127" s="45">
        <f ca="1">IFERROR(__xludf.DUMMYFUNCTION("IMPORTRANGE(""https://docs.google.com/spreadsheets/d/1MeEWN-I1oV_STSDYn1IFDPWt_1FKiwhDph83XaGc0o0/edit?usp=sharing"",""งบพรบ!BI53"")"),0)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IFERROR(__xludf.DUMMYFUNCTION("IMPORTRANGE(""https://docs.google.com/spreadsheets/d/1MeEWN-I1oV_STSDYn1IFDPWt_1FKiwhDph83XaGc0o0/edit?usp=sharing"",""งบพรบ!BK53"")"),0)</f>
        <v>0</v>
      </c>
      <c r="M137" s="45">
        <f ca="1">IFERROR(__xludf.DUMMYFUNCTION("IMPORTRANGE(""https://docs.google.com/spreadsheets/d/1MeEWN-I1oV_STSDYn1IFDPWt_1FKiwhDph83XaGc0o0/edit?usp=sharing"",""งบพรบ!BP53"")"),0)</f>
        <v>0</v>
      </c>
      <c r="N137" s="45">
        <f ca="1">IFERROR(__xludf.DUMMYFUNCTION("IMPORTRANGE(""https://docs.google.com/spreadsheets/d/1MeEWN-I1oV_STSDYn1IFDPWt_1FKiwhDph83XaGc0o0/edit?usp=sharing"",""งบพรบ!BR53"")"),0)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IFERROR(__xludf.DUMMYFUNCTION("IMPORTRANGE(""https://docs.google.com/spreadsheets/d/1MeEWN-I1oV_STSDYn1IFDPWt_1FKiwhDph83XaGc0o0/edit?usp=sharing"",""งบพรบ!BN53"")"),0)</f>
        <v>0</v>
      </c>
      <c r="M140" s="45">
        <f ca="1">IFERROR(__xludf.DUMMYFUNCTION("IMPORTRANGE(""https://docs.google.com/spreadsheets/d/1MeEWN-I1oV_STSDYn1IFDPWt_1FKiwhDph83XaGc0o0/edit?usp=sharing"",""งบพรบ!BQ53"")"),0)</f>
        <v>0</v>
      </c>
      <c r="N140" s="45">
        <f ca="1">IFERROR(__xludf.DUMMYFUNCTION("IMPORTRANGE(""https://docs.google.com/spreadsheets/d/1MeEWN-I1oV_STSDYn1IFDPWt_1FKiwhDph83XaGc0o0/edit?usp=sharing"",""งบพรบ!BS53"")"),0)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IFERROR(__xludf.DUMMYFUNCTION("IMPORTRANGE(""https://docs.google.com/spreadsheets/d/1QqKyyYR6Q21VydFLVH3TRQUabQu_ym0Zz7PgGX0-kHA/edit?usp=sharing"",""แผน!U53"")"),0)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IFERROR(__xludf.DUMMYFUNCTION("IMPORTRANGE(""https://docs.google.com/spreadsheets/d/1QqKyyYR6Q21VydFLVH3TRQUabQu_ym0Zz7PgGX0-kHA/edit?usp=sharing"",""แผน!V53"")"),0)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IFERROR(__xludf.DUMMYFUNCTION("IMPORTRANGE(""https://docs.google.com/spreadsheets/d/1QqKyyYR6Q21VydFLVH3TRQUabQu_ym0Zz7PgGX0-kHA/edit?usp=sharing"",""แผน!W53"")"),0)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25180</v>
      </c>
      <c r="N149" s="154">
        <f t="shared" ca="1" si="77"/>
        <v>23050</v>
      </c>
      <c r="O149" s="154">
        <f t="shared" ref="O149:O157" ca="1" si="78">IF(L149&gt;0,N149*100/L149,0)</f>
        <v>230.5</v>
      </c>
      <c r="P149" s="154">
        <f t="shared" ref="P149:P157" ca="1" si="79">IF(M149&gt;0,N149*100/M149,0)</f>
        <v>91.540905480540104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25180</v>
      </c>
      <c r="N151" s="45">
        <f t="shared" ca="1" si="80"/>
        <v>23050</v>
      </c>
      <c r="O151" s="45">
        <f t="shared" ca="1" si="78"/>
        <v>230.5</v>
      </c>
      <c r="P151" s="45">
        <f t="shared" ca="1" si="79"/>
        <v>91.540905480540104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25180</v>
      </c>
      <c r="N152" s="38">
        <f t="shared" ca="1" si="81"/>
        <v>23050</v>
      </c>
      <c r="O152" s="38">
        <f t="shared" ca="1" si="78"/>
        <v>230.5</v>
      </c>
      <c r="P152" s="38">
        <f t="shared" ca="1" si="79"/>
        <v>91.540905480540104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IFERROR(__xludf.DUMMYFUNCTION("IMPORTRANGE(""https://docs.google.com/spreadsheets/d/1MeEWN-I1oV_STSDYn1IFDPWt_1FKiwhDph83XaGc0o0/edit?usp=sharing"",""งบพรบ!BU53"")"),10000)</f>
        <v>10000</v>
      </c>
      <c r="M154" s="45">
        <f ca="1">IFERROR(__xludf.DUMMYFUNCTION("IMPORTRANGE(""https://docs.google.com/spreadsheets/d/1MeEWN-I1oV_STSDYn1IFDPWt_1FKiwhDph83XaGc0o0/edit?usp=sharing"",""งบพรบ!BZ53"")"),25180)</f>
        <v>25180</v>
      </c>
      <c r="N154" s="45">
        <f ca="1">IFERROR(__xludf.DUMMYFUNCTION("IMPORTRANGE(""https://docs.google.com/spreadsheets/d/1MeEWN-I1oV_STSDYn1IFDPWt_1FKiwhDph83XaGc0o0/edit?usp=sharing"",""งบพรบ!CB53"")"),23050)</f>
        <v>23050</v>
      </c>
      <c r="O154" s="45">
        <f t="shared" ca="1" si="78"/>
        <v>230.5</v>
      </c>
      <c r="P154" s="45">
        <f t="shared" ca="1" si="79"/>
        <v>91.540905480540104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IFERROR(__xludf.DUMMYFUNCTION("IMPORTRANGE(""https://docs.google.com/spreadsheets/d/1MeEWN-I1oV_STSDYn1IFDPWt_1FKiwhDph83XaGc0o0/edit?usp=sharing"",""งบพรบ!BX53"")"),0)</f>
        <v>0</v>
      </c>
      <c r="M157" s="45">
        <f ca="1">IFERROR(__xludf.DUMMYFUNCTION("IMPORTRANGE(""https://docs.google.com/spreadsheets/d/1MeEWN-I1oV_STSDYn1IFDPWt_1FKiwhDph83XaGc0o0/edit?usp=sharing"",""งบพรบ!CA53"")"),0)</f>
        <v>0</v>
      </c>
      <c r="N157" s="45">
        <f ca="1">IFERROR(__xludf.DUMMYFUNCTION("IMPORTRANGE(""https://docs.google.com/spreadsheets/d/1MeEWN-I1oV_STSDYn1IFDPWt_1FKiwhDph83XaGc0o0/edit?usp=sharing"",""งบพรบ!CC53"")"),0)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IFERROR(__xludf.DUMMYFUNCTION("IMPORTRANGE(""https://docs.google.com/spreadsheets/d/1QqKyyYR6Q21VydFLVH3TRQUabQu_ym0Zz7PgGX0-kHA/edit?usp=sharing"",""แผน!X53"")"),20)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36400</v>
      </c>
      <c r="N165" s="154">
        <f t="shared" ca="1" si="84"/>
        <v>36400</v>
      </c>
      <c r="O165" s="154">
        <f t="shared" ref="O165:O173" ca="1" si="85">IF(L165&gt;0,N165*100/L165,0)</f>
        <v>157.84908933217693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36400</v>
      </c>
      <c r="N167" s="45">
        <f t="shared" ca="1" si="87"/>
        <v>36400</v>
      </c>
      <c r="O167" s="45">
        <f t="shared" ca="1" si="85"/>
        <v>157.84908933217693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36400</v>
      </c>
      <c r="N168" s="38">
        <f t="shared" ca="1" si="88"/>
        <v>36400</v>
      </c>
      <c r="O168" s="38">
        <f t="shared" ca="1" si="85"/>
        <v>157.84908933217693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IFERROR(__xludf.DUMMYFUNCTION("IMPORTRANGE(""https://docs.google.com/spreadsheets/d/1MeEWN-I1oV_STSDYn1IFDPWt_1FKiwhDph83XaGc0o0/edit?usp=sharing"",""งบพรบ!CE53"")"),23060)</f>
        <v>23060</v>
      </c>
      <c r="M170" s="45">
        <f ca="1">IFERROR(__xludf.DUMMYFUNCTION("IMPORTRANGE(""https://docs.google.com/spreadsheets/d/1MeEWN-I1oV_STSDYn1IFDPWt_1FKiwhDph83XaGc0o0/edit?usp=sharing"",""งบพรบ!CJ53"")"),36400)</f>
        <v>36400</v>
      </c>
      <c r="N170" s="45">
        <f ca="1">IFERROR(__xludf.DUMMYFUNCTION("IMPORTRANGE(""https://docs.google.com/spreadsheets/d/1MeEWN-I1oV_STSDYn1IFDPWt_1FKiwhDph83XaGc0o0/edit?usp=sharing"",""งบพรบ!CL53"")"),36400)</f>
        <v>36400</v>
      </c>
      <c r="O170" s="45">
        <f t="shared" ca="1" si="85"/>
        <v>157.84908933217693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IFERROR(__xludf.DUMMYFUNCTION("IMPORTRANGE(""https://docs.google.com/spreadsheets/d/1MeEWN-I1oV_STSDYn1IFDPWt_1FKiwhDph83XaGc0o0/edit?usp=sharing"",""งบพรบ!CH53"")"),0)</f>
        <v>0</v>
      </c>
      <c r="M173" s="45">
        <f ca="1">IFERROR(__xludf.DUMMYFUNCTION("IMPORTRANGE(""https://docs.google.com/spreadsheets/d/1MeEWN-I1oV_STSDYn1IFDPWt_1FKiwhDph83XaGc0o0/edit?usp=sharing"",""งบพรบ!CK53"")"),0)</f>
        <v>0</v>
      </c>
      <c r="N173" s="45">
        <f ca="1">IFERROR(__xludf.DUMMYFUNCTION("IMPORTRANGE(""https://docs.google.com/spreadsheets/d/1MeEWN-I1oV_STSDYn1IFDPWt_1FKiwhDph83XaGc0o0/edit?usp=sharing"",""งบพรบ!CM53"")"),0)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IFERROR(__xludf.DUMMYFUNCTION("IMPORTRANGE(""https://docs.google.com/spreadsheets/d/1QqKyyYR6Q21VydFLVH3TRQUabQu_ym0Zz7PgGX0-kHA/edit?usp=sharing"",""แผน!Y53"")"),12)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30</v>
      </c>
      <c r="J180" s="242">
        <f t="shared" si="91"/>
        <v>30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352500</v>
      </c>
      <c r="M181" s="154">
        <f t="shared" ca="1" si="92"/>
        <v>361840</v>
      </c>
      <c r="N181" s="154">
        <f t="shared" ca="1" si="92"/>
        <v>345318</v>
      </c>
      <c r="O181" s="154">
        <f t="shared" ref="O181:O189" ca="1" si="93">IF(L181&gt;0,N181*100/L181,0)</f>
        <v>97.962553191489363</v>
      </c>
      <c r="P181" s="154">
        <f t="shared" ref="P181:P189" ca="1" si="94">IF(M181&gt;0,N181*100/M181,0)</f>
        <v>95.433893433561792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352500</v>
      </c>
      <c r="M183" s="45">
        <f t="shared" ca="1" si="95"/>
        <v>361840</v>
      </c>
      <c r="N183" s="45">
        <f t="shared" ca="1" si="95"/>
        <v>345318</v>
      </c>
      <c r="O183" s="45">
        <f t="shared" ca="1" si="93"/>
        <v>97.962553191489363</v>
      </c>
      <c r="P183" s="45">
        <f t="shared" ca="1" si="94"/>
        <v>95.433893433561792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352500</v>
      </c>
      <c r="M184" s="38">
        <f t="shared" ca="1" si="96"/>
        <v>361840</v>
      </c>
      <c r="N184" s="38">
        <f t="shared" ca="1" si="96"/>
        <v>345318</v>
      </c>
      <c r="O184" s="38">
        <f t="shared" ca="1" si="93"/>
        <v>97.962553191489363</v>
      </c>
      <c r="P184" s="38">
        <f t="shared" ca="1" si="94"/>
        <v>95.433893433561792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IFERROR(__xludf.DUMMYFUNCTION("IMPORTRANGE(""https://docs.google.com/spreadsheets/d/1MeEWN-I1oV_STSDYn1IFDPWt_1FKiwhDph83XaGc0o0/edit?usp=sharing"",""งบพรบ!CO53"")"),352500)</f>
        <v>352500</v>
      </c>
      <c r="M186" s="45">
        <f ca="1">IFERROR(__xludf.DUMMYFUNCTION("IMPORTRANGE(""https://docs.google.com/spreadsheets/d/1MeEWN-I1oV_STSDYn1IFDPWt_1FKiwhDph83XaGc0o0/edit?usp=sharing"",""งบพรบ!CT53"")"),361840)</f>
        <v>361840</v>
      </c>
      <c r="N186" s="45">
        <f ca="1">IFERROR(__xludf.DUMMYFUNCTION("IMPORTRANGE(""https://docs.google.com/spreadsheets/d/1MeEWN-I1oV_STSDYn1IFDPWt_1FKiwhDph83XaGc0o0/edit?usp=sharing"",""งบพรบ!CV53"")"),345318)</f>
        <v>345318</v>
      </c>
      <c r="O186" s="45">
        <f t="shared" ca="1" si="93"/>
        <v>97.962553191489363</v>
      </c>
      <c r="P186" s="45">
        <f t="shared" ca="1" si="94"/>
        <v>95.433893433561792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IFERROR(__xludf.DUMMYFUNCTION("IMPORTRANGE(""https://docs.google.com/spreadsheets/d/1MeEWN-I1oV_STSDYn1IFDPWt_1FKiwhDph83XaGc0o0/edit?usp=sharing"",""งบพรบ!CR53"")"),0)</f>
        <v>0</v>
      </c>
      <c r="M189" s="45">
        <f ca="1">IFERROR(__xludf.DUMMYFUNCTION("IMPORTRANGE(""https://docs.google.com/spreadsheets/d/1MeEWN-I1oV_STSDYn1IFDPWt_1FKiwhDph83XaGc0o0/edit?usp=sharing"",""งบพรบ!CU53"")"),0)</f>
        <v>0</v>
      </c>
      <c r="N189" s="45">
        <f ca="1">IFERROR(__xludf.DUMMYFUNCTION("IMPORTRANGE(""https://docs.google.com/spreadsheets/d/1MeEWN-I1oV_STSDYn1IFDPWt_1FKiwhDph83XaGc0o0/edit?usp=sharing"",""งบพรบ!CW53"")"),0)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IFERROR(__xludf.DUMMYFUNCTION("IMPORTRANGE(""https://docs.google.com/spreadsheets/d/1QqKyyYR6Q21VydFLVH3TRQUabQu_ym0Zz7PgGX0-kHA/edit?usp=sharing"",""แผน!Z53"")"),6000)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IFERROR(__xludf.DUMMYFUNCTION("IMPORTRANGE(""https://docs.google.com/spreadsheets/d/1QqKyyYR6Q21VydFLVH3TRQUabQu_ym0Zz7PgGX0-kHA/edit?usp=sharing"",""แผน!AC53"")"),4)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69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62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IFERROR(__xludf.DUMMYFUNCTION("IMPORTRANGE(""https://docs.google.com/spreadsheets/d/1QqKyyYR6Q21VydFLVH3TRQUabQu_ym0Zz7PgGX0-kHA/edit?usp=sharing"",""แผน!AE53"")"),4000)</f>
        <v>4000</v>
      </c>
      <c r="M199" s="38"/>
      <c r="N199" s="271">
        <v>4000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IFERROR(__xludf.DUMMYFUNCTION("IMPORTRANGE(""https://docs.google.com/spreadsheets/d/1QqKyyYR6Q21VydFLVH3TRQUabQu_ym0Zz7PgGX0-kHA/edit?usp=sharing"",""แผน!AF53"")"),32000)</f>
        <v>32000</v>
      </c>
      <c r="M200" s="38"/>
      <c r="N200" s="271">
        <v>32000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IFERROR(__xludf.DUMMYFUNCTION("IMPORTRANGE(""https://docs.google.com/spreadsheets/d/1QqKyyYR6Q21VydFLVH3TRQUabQu_ym0Zz7PgGX0-kHA/edit?usp=sharing"",""แผน!AG53"")"),16000)</f>
        <v>16000</v>
      </c>
      <c r="M201" s="38"/>
      <c r="N201" s="271">
        <v>16000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IFERROR(__xludf.DUMMYFUNCTION("IMPORTRANGE(""https://docs.google.com/spreadsheets/d/1QqKyyYR6Q21VydFLVH3TRQUabQu_ym0Zz7PgGX0-kHA/edit?usp=sharing"",""แผน!AH53"")"),5000)</f>
        <v>5000</v>
      </c>
      <c r="M202" s="38"/>
      <c r="N202" s="271">
        <v>5000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IFERROR(__xludf.DUMMYFUNCTION("IMPORTRANGE(""https://docs.google.com/spreadsheets/d/1QqKyyYR6Q21VydFLVH3TRQUabQu_ym0Zz7PgGX0-kHA/edit?usp=sharing"",""แผน!AI53"")"),4)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76" t="s">
        <v>102</v>
      </c>
      <c r="F206" s="177"/>
      <c r="G206" s="178"/>
      <c r="H206" s="174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8"/>
      <c r="H207" s="180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6</v>
      </c>
      <c r="J208" s="260">
        <f t="shared" si="101"/>
        <v>6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IFERROR(__xludf.DUMMYFUNCTION("IMPORTRANGE(""https://docs.google.com/spreadsheets/d/1QqKyyYR6Q21VydFLVH3TRQUabQu_ym0Zz7PgGX0-kHA/edit?usp=sharing"",""แผน!AK53"")"),6000)</f>
        <v>6000</v>
      </c>
      <c r="M210" s="38"/>
      <c r="N210" s="271">
        <v>6000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IFERROR(__xludf.DUMMYFUNCTION("IMPORTRANGE(""https://docs.google.com/spreadsheets/d/1QqKyyYR6Q21VydFLVH3TRQUabQu_ym0Zz7PgGX0-kHA/edit?usp=sharing"",""แผน!AL53"")"),30000)</f>
        <v>30000</v>
      </c>
      <c r="M211" s="38"/>
      <c r="N211" s="271">
        <v>30000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IFERROR(__xludf.DUMMYFUNCTION("IMPORTRANGE(""https://docs.google.com/spreadsheets/d/1QqKyyYR6Q21VydFLVH3TRQUabQu_ym0Zz7PgGX0-kHA/edit?usp=sharing"",""แผน!AM53"")"),48000)</f>
        <v>48000</v>
      </c>
      <c r="M212" s="38"/>
      <c r="N212" s="271">
        <v>48000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IFERROR(__xludf.DUMMYFUNCTION("IMPORTRANGE(""https://docs.google.com/spreadsheets/d/1QqKyyYR6Q21VydFLVH3TRQUabQu_ym0Zz7PgGX0-kHA/edit?usp=sharing"",""แผน!AN53"")"),6)</f>
        <v>6</v>
      </c>
      <c r="J214" s="181">
        <v>6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IFERROR(__xludf.DUMMYFUNCTION("IMPORTRANGE(""https://docs.google.com/spreadsheets/d/1QqKyyYR6Q21VydFLVH3TRQUabQu_ym0Zz7PgGX0-kHA/edit?usp=sharing"",""แผน!AN53"")"),6)</f>
        <v>6</v>
      </c>
      <c r="J215" s="181">
        <v>6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30000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IFERROR(__xludf.DUMMYFUNCTION("IMPORTRANGE(""https://docs.google.com/spreadsheets/d/1QqKyyYR6Q21VydFLVH3TRQUabQu_ym0Zz7PgGX0-kHA/edit?usp=sharing"",""แผน!AP53"")"),5000)</f>
        <v>5000</v>
      </c>
      <c r="M218" s="38"/>
      <c r="N218" s="271">
        <v>5000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IFERROR(__xludf.DUMMYFUNCTION("IMPORTRANGE(""https://docs.google.com/spreadsheets/d/1QqKyyYR6Q21VydFLVH3TRQUabQu_ym0Zz7PgGX0-kHA/edit?usp=sharing"",""แผน!AQ53"")"),8500)</f>
        <v>8500</v>
      </c>
      <c r="M219" s="38"/>
      <c r="N219" s="271">
        <v>8500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IFERROR(__xludf.DUMMYFUNCTION("IMPORTRANGE(""https://docs.google.com/spreadsheets/d/1QqKyyYR6Q21VydFLVH3TRQUabQu_ym0Zz7PgGX0-kHA/edit?usp=sharing"",""แผน!AR53"")"),0)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IFERROR(__xludf.DUMMYFUNCTION("IMPORTRANGE(""https://docs.google.com/spreadsheets/d/1QqKyyYR6Q21VydFLVH3TRQUabQu_ym0Zz7PgGX0-kHA/edit?usp=sharing"",""แผน!AT53"")"),30000)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IFERROR(__xludf.DUMMYFUNCTION("IMPORTRANGE(""https://docs.google.com/spreadsheets/d/1QqKyyYR6Q21VydFLVH3TRQUabQu_ym0Zz7PgGX0-kHA/edit?usp=sharing"",""แผน!AT53"")"),30000)</f>
        <v>30000</v>
      </c>
      <c r="J224" s="181">
        <v>30000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IFERROR(__xludf.DUMMYFUNCTION("IMPORTRANGE(""https://docs.google.com/spreadsheets/d/1QqKyyYR6Q21VydFLVH3TRQUabQu_ym0Zz7PgGX0-kHA/edit?usp=sharing"",""แผน!AS53"")"),0)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30</v>
      </c>
      <c r="J226" s="330">
        <f t="shared" si="105"/>
        <v>30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120200</v>
      </c>
      <c r="M227" s="341"/>
      <c r="N227" s="341">
        <f t="shared" ref="N227:N231" si="107">N238+N249</f>
        <v>120200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20000</v>
      </c>
      <c r="M228" s="45"/>
      <c r="N228" s="45">
        <f t="shared" si="107"/>
        <v>20000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55200</v>
      </c>
      <c r="M229" s="45"/>
      <c r="N229" s="45">
        <f t="shared" si="107"/>
        <v>55200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15000</v>
      </c>
      <c r="M230" s="45"/>
      <c r="N230" s="45">
        <f t="shared" si="107"/>
        <v>15000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30000</v>
      </c>
      <c r="M231" s="45"/>
      <c r="N231" s="45">
        <f t="shared" si="107"/>
        <v>30000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30</v>
      </c>
      <c r="J233" s="44">
        <f t="shared" si="108"/>
        <v>30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30</v>
      </c>
      <c r="J235" s="44">
        <f t="shared" si="109"/>
        <v>30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30</v>
      </c>
      <c r="J237" s="260">
        <f t="shared" si="111"/>
        <v>30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120200</v>
      </c>
      <c r="M238" s="154"/>
      <c r="N238" s="154">
        <f>N239+N240+N241+N242</f>
        <v>120200</v>
      </c>
      <c r="O238" s="154">
        <f ca="1">IF(L238&gt;0,N238*100/L238,0)</f>
        <v>100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IFERROR(__xludf.DUMMYFUNCTION("IMPORTRANGE(""https://docs.google.com/spreadsheets/d/1QqKyyYR6Q21VydFLVH3TRQUabQu_ym0Zz7PgGX0-kHA/edit?usp=sharing"",""แผน!AV53"")"),20000)</f>
        <v>20000</v>
      </c>
      <c r="M239" s="270"/>
      <c r="N239" s="808">
        <v>20000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IFERROR(__xludf.DUMMYFUNCTION("IMPORTRANGE(""https://docs.google.com/spreadsheets/d/1QqKyyYR6Q21VydFLVH3TRQUabQu_ym0Zz7PgGX0-kHA/edit?usp=sharing"",""แผน!AW53"")"),55200)</f>
        <v>55200</v>
      </c>
      <c r="M240" s="270"/>
      <c r="N240" s="808">
        <v>55200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IFERROR(__xludf.DUMMYFUNCTION("IMPORTRANGE(""https://docs.google.com/spreadsheets/d/1QqKyyYR6Q21VydFLVH3TRQUabQu_ym0Zz7PgGX0-kHA/edit?usp=sharing"",""แผน!AX53"")"),15000)</f>
        <v>15000</v>
      </c>
      <c r="M241" s="270"/>
      <c r="N241" s="808">
        <v>15000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IFERROR(__xludf.DUMMYFUNCTION("IMPORTRANGE(""https://docs.google.com/spreadsheets/d/1QqKyyYR6Q21VydFLVH3TRQUabQu_ym0Zz7PgGX0-kHA/edit?usp=sharing"",""แผน!AY53"")"),30000)</f>
        <v>30000</v>
      </c>
      <c r="M242" s="270"/>
      <c r="N242" s="808">
        <v>30000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IFERROR(__xludf.DUMMYFUNCTION("IMPORTRANGE(""https://docs.google.com/spreadsheets/d/1QqKyyYR6Q21VydFLVH3TRQUabQu_ym0Zz7PgGX0-kHA/edit?usp=sharing"",""แผน!BE53"")"),30)</f>
        <v>30</v>
      </c>
      <c r="J244" s="181">
        <v>30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30</v>
      </c>
      <c r="J246" s="181">
        <v>30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IFERROR(__xludf.DUMMYFUNCTION("IMPORTRANGE(""https://docs.google.com/spreadsheets/d/1QqKyyYR6Q21VydFLVH3TRQUabQu_ym0Zz7PgGX0-kHA/edit?usp=sharing"",""แผน!AZ53"")"),0)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IFERROR(__xludf.DUMMYFUNCTION("IMPORTRANGE(""https://docs.google.com/spreadsheets/d/1QqKyyYR6Q21VydFLVH3TRQUabQu_ym0Zz7PgGX0-kHA/edit?usp=sharing"",""แผน!BA53"")"),0)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IFERROR(__xludf.DUMMYFUNCTION("IMPORTRANGE(""https://docs.google.com/spreadsheets/d/1QqKyyYR6Q21VydFLVH3TRQUabQu_ym0Zz7PgGX0-kHA/edit?usp=sharing"",""แผน!BB53"")"),0)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IFERROR(__xludf.DUMMYFUNCTION("IMPORTRANGE(""https://docs.google.com/spreadsheets/d/1QqKyyYR6Q21VydFLVH3TRQUabQu_ym0Zz7PgGX0-kHA/edit?usp=sharing"",""แผน!BC53"")"),0)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28</v>
      </c>
      <c r="J260" s="242">
        <f t="shared" si="115"/>
        <v>28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32600</v>
      </c>
      <c r="M261" s="154">
        <f t="shared" ca="1" si="116"/>
        <v>32600</v>
      </c>
      <c r="N261" s="154">
        <f t="shared" ca="1" si="116"/>
        <v>23910</v>
      </c>
      <c r="O261" s="154">
        <f t="shared" ref="O261:O269" ca="1" si="117">IF(L261&gt;0,N261*100/L261,0)</f>
        <v>73.343558282208591</v>
      </c>
      <c r="P261" s="154">
        <f t="shared" ref="P261:P269" ca="1" si="118">IF(M261&gt;0,N261*100/M261,0)</f>
        <v>73.343558282208591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32600</v>
      </c>
      <c r="M263" s="45">
        <f t="shared" ca="1" si="119"/>
        <v>32600</v>
      </c>
      <c r="N263" s="45">
        <f t="shared" ca="1" si="119"/>
        <v>23910</v>
      </c>
      <c r="O263" s="45">
        <f t="shared" ca="1" si="117"/>
        <v>73.343558282208591</v>
      </c>
      <c r="P263" s="45">
        <f t="shared" ca="1" si="118"/>
        <v>73.343558282208591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32600</v>
      </c>
      <c r="M264" s="38">
        <f t="shared" ca="1" si="120"/>
        <v>32600</v>
      </c>
      <c r="N264" s="38">
        <f t="shared" ca="1" si="120"/>
        <v>23910</v>
      </c>
      <c r="O264" s="38">
        <f t="shared" ca="1" si="117"/>
        <v>73.343558282208591</v>
      </c>
      <c r="P264" s="38">
        <f t="shared" ca="1" si="118"/>
        <v>73.343558282208591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IFERROR(__xludf.DUMMYFUNCTION("IMPORTRANGE(""https://docs.google.com/spreadsheets/d/1MeEWN-I1oV_STSDYn1IFDPWt_1FKiwhDph83XaGc0o0/edit?usp=sharing"",""งบพรบ!CY53"")"),32600)</f>
        <v>32600</v>
      </c>
      <c r="M266" s="45">
        <f ca="1">IFERROR(__xludf.DUMMYFUNCTION("IMPORTRANGE(""https://docs.google.com/spreadsheets/d/1MeEWN-I1oV_STSDYn1IFDPWt_1FKiwhDph83XaGc0o0/edit?usp=sharing"",""งบพรบ!DD53"")"),32600)</f>
        <v>32600</v>
      </c>
      <c r="N266" s="45">
        <f ca="1">IFERROR(__xludf.DUMMYFUNCTION("IMPORTRANGE(""https://docs.google.com/spreadsheets/d/1MeEWN-I1oV_STSDYn1IFDPWt_1FKiwhDph83XaGc0o0/edit?usp=sharing"",""งบพรบ!DF53"")"),23910)</f>
        <v>23910</v>
      </c>
      <c r="O266" s="45">
        <f t="shared" ca="1" si="117"/>
        <v>73.343558282208591</v>
      </c>
      <c r="P266" s="45">
        <f t="shared" ca="1" si="118"/>
        <v>73.343558282208591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IFERROR(__xludf.DUMMYFUNCTION("IMPORTRANGE(""https://docs.google.com/spreadsheets/d/1MeEWN-I1oV_STSDYn1IFDPWt_1FKiwhDph83XaGc0o0/edit?usp=sharing"",""งบพรบ!DB53"")"),0)</f>
        <v>0</v>
      </c>
      <c r="M269" s="45">
        <f ca="1">IFERROR(__xludf.DUMMYFUNCTION("IMPORTRANGE(""https://docs.google.com/spreadsheets/d/1MeEWN-I1oV_STSDYn1IFDPWt_1FKiwhDph83XaGc0o0/edit?usp=sharing"",""งบพรบ!DE53"")"),0)</f>
        <v>0</v>
      </c>
      <c r="N269" s="45">
        <f ca="1">IFERROR(__xludf.DUMMYFUNCTION("IMPORTRANGE(""https://docs.google.com/spreadsheets/d/1MeEWN-I1oV_STSDYn1IFDPWt_1FKiwhDph83XaGc0o0/edit?usp=sharing"",""งบพรบ!DG53"")"),0)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IFERROR(__xludf.DUMMYFUNCTION("IMPORTRANGE(""https://docs.google.com/spreadsheets/d/1QqKyyYR6Q21VydFLVH3TRQUabQu_ym0Zz7PgGX0-kHA/edit?usp=sharing"",""แผน!EA53"")"),28)</f>
        <v>28</v>
      </c>
      <c r="J271" s="181">
        <v>28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25</v>
      </c>
      <c r="J275" s="387">
        <f t="shared" ca="1" si="122"/>
        <v>25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250</v>
      </c>
      <c r="J276" s="810">
        <f t="shared" si="124"/>
        <v>250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194020</v>
      </c>
      <c r="M277" s="154">
        <f t="shared" ca="1" si="125"/>
        <v>194020</v>
      </c>
      <c r="N277" s="154">
        <f t="shared" ca="1" si="125"/>
        <v>149128</v>
      </c>
      <c r="O277" s="154">
        <f t="shared" ref="O277:O285" ca="1" si="126">IF(L277&gt;0,N277*100/L277,0)</f>
        <v>76.86217915678796</v>
      </c>
      <c r="P277" s="154">
        <f t="shared" ref="P277:P285" ca="1" si="127">IF(M277&gt;0,N277*100/M277,0)</f>
        <v>76.86217915678796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194020</v>
      </c>
      <c r="M279" s="45">
        <f t="shared" ca="1" si="128"/>
        <v>194020</v>
      </c>
      <c r="N279" s="45">
        <f t="shared" ca="1" si="128"/>
        <v>149128</v>
      </c>
      <c r="O279" s="45">
        <f t="shared" ca="1" si="126"/>
        <v>76.86217915678796</v>
      </c>
      <c r="P279" s="45">
        <f t="shared" ca="1" si="127"/>
        <v>76.86217915678796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194020</v>
      </c>
      <c r="M280" s="38">
        <f t="shared" ca="1" si="129"/>
        <v>194020</v>
      </c>
      <c r="N280" s="38">
        <f t="shared" ca="1" si="129"/>
        <v>149128</v>
      </c>
      <c r="O280" s="38">
        <f t="shared" ca="1" si="126"/>
        <v>76.86217915678796</v>
      </c>
      <c r="P280" s="38">
        <f t="shared" ca="1" si="127"/>
        <v>76.86217915678796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IFERROR(__xludf.DUMMYFUNCTION("IMPORTRANGE(""https://docs.google.com/spreadsheets/d/1MeEWN-I1oV_STSDYn1IFDPWt_1FKiwhDph83XaGc0o0/edit?usp=sharing"",""งบพรบ!DI53"")"),194020)</f>
        <v>194020</v>
      </c>
      <c r="M282" s="45">
        <f ca="1">IFERROR(__xludf.DUMMYFUNCTION("IMPORTRANGE(""https://docs.google.com/spreadsheets/d/1MeEWN-I1oV_STSDYn1IFDPWt_1FKiwhDph83XaGc0o0/edit?usp=sharing"",""งบพรบ!DN53"")"),194020)</f>
        <v>194020</v>
      </c>
      <c r="N282" s="45">
        <f ca="1">IFERROR(__xludf.DUMMYFUNCTION("IMPORTRANGE(""https://docs.google.com/spreadsheets/d/1MeEWN-I1oV_STSDYn1IFDPWt_1FKiwhDph83XaGc0o0/edit?usp=sharing"",""งบพรบ!DP53"")"),149128)</f>
        <v>149128</v>
      </c>
      <c r="O282" s="45">
        <f t="shared" ca="1" si="126"/>
        <v>76.86217915678796</v>
      </c>
      <c r="P282" s="45">
        <f t="shared" ca="1" si="127"/>
        <v>76.86217915678796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IFERROR(__xludf.DUMMYFUNCTION("IMPORTRANGE(""https://docs.google.com/spreadsheets/d/1MeEWN-I1oV_STSDYn1IFDPWt_1FKiwhDph83XaGc0o0/edit?usp=sharing"",""งบพรบ!DL53"")"),0)</f>
        <v>0</v>
      </c>
      <c r="M285" s="45">
        <f ca="1">IFERROR(__xludf.DUMMYFUNCTION("IMPORTRANGE(""https://docs.google.com/spreadsheets/d/1MeEWN-I1oV_STSDYn1IFDPWt_1FKiwhDph83XaGc0o0/edit?usp=sharing"",""งบพรบ!DO53"")"),0)</f>
        <v>0</v>
      </c>
      <c r="N285" s="45">
        <f ca="1">IFERROR(__xludf.DUMMYFUNCTION("IMPORTRANGE(""https://docs.google.com/spreadsheets/d/1MeEWN-I1oV_STSDYn1IFDPWt_1FKiwhDph83XaGc0o0/edit?usp=sharing"",""งบพรบ!DQ53"")"),0)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IFERROR(__xludf.DUMMYFUNCTION("IMPORTRANGE(""https://docs.google.com/spreadsheets/d/1QqKyyYR6Q21VydFLVH3TRQUabQu_ym0Zz7PgGX0-kHA/edit?usp=sharing"",""แผน!EC53"")"),250)</f>
        <v>250</v>
      </c>
      <c r="J287" s="181">
        <v>250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IFERROR(__xludf.DUMMYFUNCTION("IMPORTRANGE(""https://docs.google.com/spreadsheets/d/1QqKyyYR6Q21VydFLVH3TRQUabQu_ym0Zz7PgGX0-kHA/edit?usp=sharing"",""แผน!EB53"")"),25)</f>
        <v>25</v>
      </c>
      <c r="J288" s="190">
        <f ca="1">IF(AND(J291&gt;=I288,J294&gt;=I288),J294,0)</f>
        <v>25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IFERROR(__xludf.DUMMYFUNCTION("IMPORTRANGE(""https://docs.google.com/spreadsheets/d/1QqKyyYR6Q21VydFLVH3TRQUabQu_ym0Zz7PgGX0-kHA/edit?usp=sharing"",""แผน!EB53"")"),25)</f>
        <v>25</v>
      </c>
      <c r="J290" s="181">
        <v>25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IFERROR(__xludf.DUMMYFUNCTION("IMPORTRANGE(""https://docs.google.com/spreadsheets/d/1QqKyyYR6Q21VydFLVH3TRQUabQu_ym0Zz7PgGX0-kHA/edit?usp=sharing"",""แผน!EB53"")"),25)</f>
        <v>25</v>
      </c>
      <c r="J291" s="181">
        <v>25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IFERROR(__xludf.DUMMYFUNCTION("IMPORTRANGE(""https://docs.google.com/spreadsheets/d/1QqKyyYR6Q21VydFLVH3TRQUabQu_ym0Zz7PgGX0-kHA/edit?usp=sharing"",""แผน!EB53"")"),25)</f>
        <v>25</v>
      </c>
      <c r="J293" s="181">
        <v>25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IFERROR(__xludf.DUMMYFUNCTION("IMPORTRANGE(""https://docs.google.com/spreadsheets/d/1QqKyyYR6Q21VydFLVH3TRQUabQu_ym0Zz7PgGX0-kHA/edit?usp=sharing"",""แผน!EB53"")"),25)</f>
        <v>25</v>
      </c>
      <c r="J294" s="401">
        <v>25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368400</v>
      </c>
      <c r="M298" s="154">
        <f t="shared" ca="1" si="135"/>
        <v>388900</v>
      </c>
      <c r="N298" s="154">
        <f t="shared" ca="1" si="135"/>
        <v>317728</v>
      </c>
      <c r="O298" s="154">
        <f t="shared" ref="O298:O306" ca="1" si="136">IF(L298&gt;0,N298*100/L298,0)</f>
        <v>86.245385450597183</v>
      </c>
      <c r="P298" s="154">
        <f t="shared" ref="P298:P306" ca="1" si="137">IF(M298&gt;0,N298*100/M298,0)</f>
        <v>81.699151452815627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368400</v>
      </c>
      <c r="M300" s="45">
        <f t="shared" ca="1" si="138"/>
        <v>388900</v>
      </c>
      <c r="N300" s="45">
        <f t="shared" ca="1" si="138"/>
        <v>317728</v>
      </c>
      <c r="O300" s="45">
        <f t="shared" ca="1" si="136"/>
        <v>86.245385450597183</v>
      </c>
      <c r="P300" s="45">
        <f t="shared" ca="1" si="137"/>
        <v>81.699151452815627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368400</v>
      </c>
      <c r="M301" s="38">
        <f t="shared" ca="1" si="139"/>
        <v>388900</v>
      </c>
      <c r="N301" s="38">
        <f t="shared" ca="1" si="139"/>
        <v>317728</v>
      </c>
      <c r="O301" s="38">
        <f t="shared" ca="1" si="136"/>
        <v>86.245385450597183</v>
      </c>
      <c r="P301" s="38">
        <f t="shared" ca="1" si="137"/>
        <v>81.699151452815627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IFERROR(__xludf.DUMMYFUNCTION("IMPORTRANGE(""https://docs.google.com/spreadsheets/d/1MeEWN-I1oV_STSDYn1IFDPWt_1FKiwhDph83XaGc0o0/edit?usp=sharing"",""งบพรบ!DS53"")"),368400)</f>
        <v>368400</v>
      </c>
      <c r="M303" s="45">
        <f ca="1">IFERROR(__xludf.DUMMYFUNCTION("IMPORTRANGE(""https://docs.google.com/spreadsheets/d/1MeEWN-I1oV_STSDYn1IFDPWt_1FKiwhDph83XaGc0o0/edit?usp=sharing"",""งบพรบ!DX53"")"),388900)</f>
        <v>388900</v>
      </c>
      <c r="N303" s="45">
        <f ca="1">IFERROR(__xludf.DUMMYFUNCTION("IMPORTRANGE(""https://docs.google.com/spreadsheets/d/1MeEWN-I1oV_STSDYn1IFDPWt_1FKiwhDph83XaGc0o0/edit?usp=sharing"",""งบพรบ!DZ53"")"),317728)</f>
        <v>317728</v>
      </c>
      <c r="O303" s="45">
        <f t="shared" ca="1" si="136"/>
        <v>86.245385450597183</v>
      </c>
      <c r="P303" s="45">
        <f t="shared" ca="1" si="137"/>
        <v>81.699151452815627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IFERROR(__xludf.DUMMYFUNCTION("IMPORTRANGE(""https://docs.google.com/spreadsheets/d/1MeEWN-I1oV_STSDYn1IFDPWt_1FKiwhDph83XaGc0o0/edit?usp=sharing"",""งบพรบ!DV53"")"),0)</f>
        <v>0</v>
      </c>
      <c r="M306" s="45">
        <f ca="1">IFERROR(__xludf.DUMMYFUNCTION("IMPORTRANGE(""https://docs.google.com/spreadsheets/d/1MeEWN-I1oV_STSDYn1IFDPWt_1FKiwhDph83XaGc0o0/edit?usp=sharing"",""งบพรบ!DY53"")"),0)</f>
        <v>0</v>
      </c>
      <c r="N306" s="45">
        <f ca="1">IFERROR(__xludf.DUMMYFUNCTION("IMPORTRANGE(""https://docs.google.com/spreadsheets/d/1MeEWN-I1oV_STSDYn1IFDPWt_1FKiwhDph83XaGc0o0/edit?usp=sharing"",""งบพรบ!EA53"")"),0)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IFERROR(__xludf.DUMMYFUNCTION("IMPORTRANGE(""https://docs.google.com/spreadsheets/d/1QqKyyYR6Q21VydFLVH3TRQUabQu_ym0Zz7PgGX0-kHA/edit?usp=sharing"",""แผน!ED53"")"),20)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IFERROR(__xludf.DUMMYFUNCTION("IMPORTRANGE(""https://docs.google.com/spreadsheets/d/1QqKyyYR6Q21VydFLVH3TRQUabQu_ym0Zz7PgGX0-kHA/edit?usp=sharing"",""แผน!ED53"")"),20)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IFERROR(__xludf.DUMMYFUNCTION("IMPORTRANGE(""https://docs.google.com/spreadsheets/d/1QqKyyYR6Q21VydFLVH3TRQUabQu_ym0Zz7PgGX0-kHA/edit?usp=sharing"",""แผน!ED53"")"),20)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IFERROR(__xludf.DUMMYFUNCTION("IMPORTRANGE(""https://docs.google.com/spreadsheets/d/1QqKyyYR6Q21VydFLVH3TRQUabQu_ym0Zz7PgGX0-kHA/edit?usp=sharing"",""แผน!EE53"")"),4)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1</v>
      </c>
      <c r="J314" s="421">
        <f t="shared" si="142"/>
        <v>1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153000</v>
      </c>
      <c r="M315" s="154">
        <f t="shared" ca="1" si="143"/>
        <v>153000</v>
      </c>
      <c r="N315" s="154">
        <f t="shared" ca="1" si="143"/>
        <v>124402</v>
      </c>
      <c r="O315" s="154">
        <f t="shared" ref="O315:O323" ca="1" si="144">IF(L315&gt;0,N315*100/L315,0)</f>
        <v>81.308496732026143</v>
      </c>
      <c r="P315" s="154">
        <f t="shared" ref="P315:P323" ca="1" si="145">IF(M315&gt;0,N315*100/M315,0)</f>
        <v>81.308496732026143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153000</v>
      </c>
      <c r="M317" s="45">
        <f t="shared" ca="1" si="146"/>
        <v>153000</v>
      </c>
      <c r="N317" s="45">
        <f t="shared" ca="1" si="146"/>
        <v>124402</v>
      </c>
      <c r="O317" s="45">
        <f t="shared" ca="1" si="144"/>
        <v>81.308496732026143</v>
      </c>
      <c r="P317" s="45">
        <f t="shared" ca="1" si="145"/>
        <v>81.308496732026143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153000</v>
      </c>
      <c r="N318" s="38">
        <f t="shared" ca="1" si="147"/>
        <v>124402</v>
      </c>
      <c r="O318" s="38">
        <f t="shared" ca="1" si="144"/>
        <v>81.308496732026143</v>
      </c>
      <c r="P318" s="38">
        <f t="shared" ca="1" si="145"/>
        <v>81.308496732026143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IFERROR(__xludf.DUMMYFUNCTION("IMPORTRANGE(""https://docs.google.com/spreadsheets/d/1MeEWN-I1oV_STSDYn1IFDPWt_1FKiwhDph83XaGc0o0/edit?usp=sharing"",""งบพรบ!EC53"")"),153000)</f>
        <v>153000</v>
      </c>
      <c r="M320" s="45">
        <f ca="1">IFERROR(__xludf.DUMMYFUNCTION("IMPORTRANGE(""https://docs.google.com/spreadsheets/d/1MeEWN-I1oV_STSDYn1IFDPWt_1FKiwhDph83XaGc0o0/edit?usp=sharing"",""งบพรบ!EH53"")"),153000)</f>
        <v>153000</v>
      </c>
      <c r="N320" s="45">
        <f ca="1">IFERROR(__xludf.DUMMYFUNCTION("IMPORTRANGE(""https://docs.google.com/spreadsheets/d/1MeEWN-I1oV_STSDYn1IFDPWt_1FKiwhDph83XaGc0o0/edit?usp=sharing"",""งบพรบ!EJ53"")"),124402)</f>
        <v>124402</v>
      </c>
      <c r="O320" s="45">
        <f t="shared" ca="1" si="144"/>
        <v>81.308496732026143</v>
      </c>
      <c r="P320" s="45">
        <f t="shared" ca="1" si="145"/>
        <v>81.308496732026143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IFERROR(__xludf.DUMMYFUNCTION("IMPORTRANGE(""https://docs.google.com/spreadsheets/d/1MeEWN-I1oV_STSDYn1IFDPWt_1FKiwhDph83XaGc0o0/edit?usp=sharing"",""งบพรบ!EF53"")"),0)</f>
        <v>0</v>
      </c>
      <c r="M323" s="45">
        <f ca="1">IFERROR(__xludf.DUMMYFUNCTION("IMPORTRANGE(""https://docs.google.com/spreadsheets/d/1MeEWN-I1oV_STSDYn1IFDPWt_1FKiwhDph83XaGc0o0/edit?usp=sharing"",""งบพรบ!EI53"")"),0)</f>
        <v>0</v>
      </c>
      <c r="N323" s="45">
        <f ca="1">IFERROR(__xludf.DUMMYFUNCTION("IMPORTRANGE(""https://docs.google.com/spreadsheets/d/1MeEWN-I1oV_STSDYn1IFDPWt_1FKiwhDph83XaGc0o0/edit?usp=sharing"",""งบพรบ!EK53"")"),0)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IFERROR(__xludf.DUMMYFUNCTION("IMPORTRANGE(""https://docs.google.com/spreadsheets/d/1QqKyyYR6Q21VydFLVH3TRQUabQu_ym0Zz7PgGX0-kHA/edit?usp=sharing"",""แผน!EF53"")"),1)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IFERROR(__xludf.DUMMYFUNCTION("IMPORTRANGE(""https://docs.google.com/spreadsheets/d/1QqKyyYR6Q21VydFLVH3TRQUabQu_ym0Zz7PgGX0-kHA/edit?usp=sharing"",""แผน!EG53"")"),1600)</f>
        <v>1600</v>
      </c>
      <c r="J327" s="421">
        <f ca="1">J338+J341+J342+J343</f>
        <v>4551</v>
      </c>
      <c r="K327" s="422">
        <f ca="1">IF(I327&gt;0,J327*100/I327,0)</f>
        <v>284.4375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168000</v>
      </c>
      <c r="M328" s="154">
        <f t="shared" ca="1" si="149"/>
        <v>170500</v>
      </c>
      <c r="N328" s="154">
        <f t="shared" ca="1" si="149"/>
        <v>143634</v>
      </c>
      <c r="O328" s="154">
        <f t="shared" ref="O328:O336" ca="1" si="150">IF(L328&gt;0,N328*100/L328,0)</f>
        <v>85.496428571428567</v>
      </c>
      <c r="P328" s="154">
        <f t="shared" ref="P328:P336" ca="1" si="151">IF(M328&gt;0,N328*100/M328,0)</f>
        <v>84.242815249266869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168000</v>
      </c>
      <c r="M330" s="45">
        <f t="shared" ca="1" si="152"/>
        <v>170500</v>
      </c>
      <c r="N330" s="45">
        <f t="shared" ca="1" si="152"/>
        <v>143634</v>
      </c>
      <c r="O330" s="45">
        <f t="shared" ca="1" si="150"/>
        <v>85.496428571428567</v>
      </c>
      <c r="P330" s="45">
        <f t="shared" ca="1" si="151"/>
        <v>84.242815249266869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168000</v>
      </c>
      <c r="M331" s="38">
        <f t="shared" ca="1" si="153"/>
        <v>170500</v>
      </c>
      <c r="N331" s="38">
        <f t="shared" ca="1" si="153"/>
        <v>143634</v>
      </c>
      <c r="O331" s="38">
        <f t="shared" ca="1" si="150"/>
        <v>85.496428571428567</v>
      </c>
      <c r="P331" s="38">
        <f t="shared" ca="1" si="151"/>
        <v>84.242815249266869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IFERROR(__xludf.DUMMYFUNCTION("IMPORTRANGE(""https://docs.google.com/spreadsheets/d/1MeEWN-I1oV_STSDYn1IFDPWt_1FKiwhDph83XaGc0o0/edit?usp=sharing"",""งบพรบ!EM53"")"),168000)</f>
        <v>168000</v>
      </c>
      <c r="M333" s="45">
        <f ca="1">IFERROR(__xludf.DUMMYFUNCTION("IMPORTRANGE(""https://docs.google.com/spreadsheets/d/1MeEWN-I1oV_STSDYn1IFDPWt_1FKiwhDph83XaGc0o0/edit?usp=sharing"",""งบพรบ!ER53"")"),170500)</f>
        <v>170500</v>
      </c>
      <c r="N333" s="45">
        <f ca="1">IFERROR(__xludf.DUMMYFUNCTION("IMPORTRANGE(""https://docs.google.com/spreadsheets/d/1MeEWN-I1oV_STSDYn1IFDPWt_1FKiwhDph83XaGc0o0/edit?usp=sharing"",""งบพรบ!ET53"")"),143634)</f>
        <v>143634</v>
      </c>
      <c r="O333" s="45">
        <f t="shared" ca="1" si="150"/>
        <v>85.496428571428567</v>
      </c>
      <c r="P333" s="45">
        <f t="shared" ca="1" si="151"/>
        <v>84.242815249266869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IFERROR(__xludf.DUMMYFUNCTION("IMPORTRANGE(""https://docs.google.com/spreadsheets/d/1MeEWN-I1oV_STSDYn1IFDPWt_1FKiwhDph83XaGc0o0/edit?usp=sharing"",""งบพรบ!EP53"")"),0)</f>
        <v>0</v>
      </c>
      <c r="M336" s="45">
        <f ca="1">IFERROR(__xludf.DUMMYFUNCTION("IMPORTRANGE(""https://docs.google.com/spreadsheets/d/1MeEWN-I1oV_STSDYn1IFDPWt_1FKiwhDph83XaGc0o0/edit?usp=sharing"",""งบพรบ!ES53"")"),0)</f>
        <v>0</v>
      </c>
      <c r="N336" s="45">
        <f ca="1">IFERROR(__xludf.DUMMYFUNCTION("IMPORTRANGE(""https://docs.google.com/spreadsheets/d/1MeEWN-I1oV_STSDYn1IFDPWt_1FKiwhDph83XaGc0o0/edit?usp=sharing"",""งบพรบ!EU53"")"),0)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IFERROR(__xludf.DUMMYFUNCTION("IMPORTRANGE(""https://docs.google.com/spreadsheets/d/1QqKyyYR6Q21VydFLVH3TRQUabQu_ym0Zz7PgGX0-kHA/edit?usp=sharing"",""แผน!EG53"")"),1600)</f>
        <v>1600</v>
      </c>
      <c r="J338" s="37">
        <f ca="1">IFERROR(__xludf.DUMMYFUNCTION("IMPORTRANGE(""https://docs.google.com/spreadsheets/d/1kVcqe37tkHyjCSG3S0O1AXqVkqjo8mSIZil3BcpIysc/edit?usp=sharing"",""ศูนย์!D53"")"),4305)</f>
        <v>4305</v>
      </c>
      <c r="K338" s="38">
        <f ca="1">IF(I338&gt;0,J338*100/I338,0)</f>
        <v>269.0625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IFERROR(__xludf.DUMMYFUNCTION("IMPORTRANGE(""https://docs.google.com/spreadsheets/d/1QqKyyYR6Q21VydFLVH3TRQUabQu_ym0Zz7PgGX0-kHA/edit?usp=sharing"",""แผน!EH53"")"),5)</f>
        <v>5</v>
      </c>
      <c r="J340" s="37">
        <f ca="1">IFERROR(__xludf.DUMMYFUNCTION("IMPORTRANGE(""https://docs.google.com/spreadsheets/d/1kVcqe37tkHyjCSG3S0O1AXqVkqjo8mSIZil3BcpIysc/edit?usp=sharing"",""ศูนย์!E53"")"),4)</f>
        <v>4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IFERROR(__xludf.DUMMYFUNCTION("IMPORTRANGE(""https://docs.google.com/spreadsheets/d/1kVcqe37tkHyjCSG3S0O1AXqVkqjo8mSIZil3BcpIysc/edit?usp=sharing"",""ศูนย์!F53"")"),246)</f>
        <v>246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IFERROR(__xludf.DUMMYFUNCTION("IMPORTRANGE(""https://docs.google.com/spreadsheets/d/1kVcqe37tkHyjCSG3S0O1AXqVkqjo8mSIZil3BcpIysc/edit?usp=sharing"",""ศูนย์!G53"")"),0)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IFERROR(__xludf.DUMMYFUNCTION("IMPORTRANGE(""https://docs.google.com/spreadsheets/d/1kVcqe37tkHyjCSG3S0O1AXqVkqjo8mSIZil3BcpIysc/edit?usp=sharing"",""ศูนย์!H53"")"),0)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1015940</v>
      </c>
      <c r="M345" s="154">
        <f t="shared" ca="1" si="155"/>
        <v>1260980</v>
      </c>
      <c r="N345" s="154">
        <f t="shared" ca="1" si="155"/>
        <v>964527</v>
      </c>
      <c r="O345" s="154">
        <f t="shared" ref="O345:O353" ca="1" si="156">IF(L345&gt;0,N345*100/L345,0)</f>
        <v>94.939366498021542</v>
      </c>
      <c r="P345" s="154">
        <f t="shared" ref="P345:P353" ca="1" si="157">IF(M345&gt;0,N345*100/M345,0)</f>
        <v>76.490269472949606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1015940</v>
      </c>
      <c r="M347" s="45">
        <f t="shared" ca="1" si="158"/>
        <v>1260980</v>
      </c>
      <c r="N347" s="45">
        <f t="shared" ca="1" si="158"/>
        <v>964527</v>
      </c>
      <c r="O347" s="45">
        <f t="shared" ca="1" si="156"/>
        <v>94.939366498021542</v>
      </c>
      <c r="P347" s="45">
        <f t="shared" ca="1" si="157"/>
        <v>76.490269472949606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895340</v>
      </c>
      <c r="M348" s="38">
        <f t="shared" ca="1" si="159"/>
        <v>1140380</v>
      </c>
      <c r="N348" s="38">
        <f t="shared" ca="1" si="159"/>
        <v>843927</v>
      </c>
      <c r="O348" s="38">
        <f t="shared" ca="1" si="156"/>
        <v>94.257712154042039</v>
      </c>
      <c r="P348" s="38">
        <f t="shared" ca="1" si="157"/>
        <v>74.004016205124614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IFERROR(__xludf.DUMMYFUNCTION("IMPORTRANGE(""https://docs.google.com/spreadsheets/d/1MeEWN-I1oV_STSDYn1IFDPWt_1FKiwhDph83XaGc0o0/edit?usp=sharing"",""งบพรบ!EW53"")"),895340)</f>
        <v>895340</v>
      </c>
      <c r="M350" s="45">
        <f ca="1">IFERROR(__xludf.DUMMYFUNCTION("IMPORTRANGE(""https://docs.google.com/spreadsheets/d/1MeEWN-I1oV_STSDYn1IFDPWt_1FKiwhDph83XaGc0o0/edit?usp=sharing"",""งบพรบ!FB53"")"),1140380)</f>
        <v>1140380</v>
      </c>
      <c r="N350" s="45">
        <f ca="1">IFERROR(__xludf.DUMMYFUNCTION("IMPORTRANGE(""https://docs.google.com/spreadsheets/d/1MeEWN-I1oV_STSDYn1IFDPWt_1FKiwhDph83XaGc0o0/edit?usp=sharing"",""งบพรบ!FD53"")"),843927)</f>
        <v>843927</v>
      </c>
      <c r="O350" s="45">
        <f t="shared" ca="1" si="156"/>
        <v>94.257712154042039</v>
      </c>
      <c r="P350" s="45">
        <f t="shared" ca="1" si="157"/>
        <v>74.004016205124614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120600</v>
      </c>
      <c r="M351" s="38">
        <f t="shared" ca="1" si="160"/>
        <v>120600</v>
      </c>
      <c r="N351" s="38">
        <f t="shared" ca="1" si="160"/>
        <v>120600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IFERROR(__xludf.DUMMYFUNCTION("IMPORTRANGE(""https://docs.google.com/spreadsheets/d/1MeEWN-I1oV_STSDYn1IFDPWt_1FKiwhDph83XaGc0o0/edit?usp=sharing"",""งบพรบ!EZ53"")"),120600)</f>
        <v>120600</v>
      </c>
      <c r="M353" s="45">
        <f ca="1">IFERROR(__xludf.DUMMYFUNCTION("IMPORTRANGE(""https://docs.google.com/spreadsheets/d/1MeEWN-I1oV_STSDYn1IFDPWt_1FKiwhDph83XaGc0o0/edit?usp=sharing"",""งบพรบ!FC53"")"),120600)</f>
        <v>120600</v>
      </c>
      <c r="N353" s="45">
        <f ca="1">IFERROR(__xludf.DUMMYFUNCTION("IMPORTRANGE(""https://docs.google.com/spreadsheets/d/1MeEWN-I1oV_STSDYn1IFDPWt_1FKiwhDph83XaGc0o0/edit?usp=sharing"",""งบพรบ!FE53"")"),120600)</f>
        <v>120600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IFERROR(__xludf.DUMMYFUNCTION("IMPORTRANGE(""https://docs.google.com/spreadsheets/d/1QqKyyYR6Q21VydFLVH3TRQUabQu_ym0Zz7PgGX0-kHA/edit?usp=sharing"",""แผน!EP53"")"),300)</f>
        <v>300</v>
      </c>
      <c r="J355" s="438">
        <f ca="1">J362</f>
        <v>34</v>
      </c>
      <c r="K355" s="439">
        <f ca="1">IF(I355&gt;0,J355*100/I355,0)</f>
        <v>11.333333333333334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IFERROR(__xludf.DUMMYFUNCTION("IMPORTRANGE(""https://docs.google.com/spreadsheets/d/1XWAQStnk-4SwqDmLtmXYiTMKHgktTP8We1SCoS47DrQ/edit?usp=sharing"",""จัดที่ดิน!W53"")"),279)</f>
        <v>279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IFERROR(__xludf.DUMMYFUNCTION("IMPORTRANGE(""https://docs.google.com/spreadsheets/d/1QqKyyYR6Q21VydFLVH3TRQUabQu_ym0Zz7PgGX0-kHA/edit?usp=sharing"",""แผน!EO53"")"),3000)</f>
        <v>3000</v>
      </c>
      <c r="J359" s="37">
        <f ca="1">IFERROR(__xludf.DUMMYFUNCTION("IMPORTRANGE(""https://docs.google.com/spreadsheets/d/1XWAQStnk-4SwqDmLtmXYiTMKHgktTP8We1SCoS47DrQ/edit?usp=sharing"",""จัดที่ดิน!X53"")"),3073.08)</f>
        <v>3073.08</v>
      </c>
      <c r="K359" s="38">
        <f t="shared" ca="1" si="161"/>
        <v>102.43600000000001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IFERROR(__xludf.DUMMYFUNCTION("IMPORTRANGE(""https://docs.google.com/spreadsheets/d/1QqKyyYR6Q21VydFLVH3TRQUabQu_ym0Zz7PgGX0-kHA/edit?usp=sharing"",""แผน!EP53"")"),300)</f>
        <v>300</v>
      </c>
      <c r="J360" s="37">
        <f ca="1">IFERROR(__xludf.DUMMYFUNCTION("IMPORTRANGE(""https://docs.google.com/spreadsheets/d/1XWAQStnk-4SwqDmLtmXYiTMKHgktTP8We1SCoS47DrQ/edit?usp=sharing"",""จัดที่ดิน!Y53"")"),42)</f>
        <v>42</v>
      </c>
      <c r="K360" s="38">
        <f t="shared" ca="1" si="161"/>
        <v>14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IFERROR(__xludf.DUMMYFUNCTION("IMPORTRANGE(""https://docs.google.com/spreadsheets/d/1XWAQStnk-4SwqDmLtmXYiTMKHgktTP8We1SCoS47DrQ/edit?usp=sharing"",""จัดที่ดิน!Z53"")"),482.58)</f>
        <v>482.58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IFERROR(__xludf.DUMMYFUNCTION("IMPORTRANGE(""https://docs.google.com/spreadsheets/d/1QqKyyYR6Q21VydFLVH3TRQUabQu_ym0Zz7PgGX0-kHA/edit?usp=sharing"",""แผน!EP53"")"),300)</f>
        <v>300</v>
      </c>
      <c r="J362" s="37">
        <f ca="1">IFERROR(__xludf.DUMMYFUNCTION("IMPORTRANGE(""https://docs.google.com/spreadsheets/d/1XWAQStnk-4SwqDmLtmXYiTMKHgktTP8We1SCoS47DrQ/edit?usp=sharing"",""จัดที่ดิน!AA53"")"),34)</f>
        <v>34</v>
      </c>
      <c r="K362" s="38">
        <f t="shared" ca="1" si="161"/>
        <v>11.333333333333334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IFERROR(__xludf.DUMMYFUNCTION("IMPORTRANGE(""https://docs.google.com/spreadsheets/d/1XWAQStnk-4SwqDmLtmXYiTMKHgktTP8We1SCoS47DrQ/edit?usp=sharing"",""จัดที่ดิน!AB53"")"),482.6)</f>
        <v>482.6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340</v>
      </c>
      <c r="J364" s="452">
        <f t="shared" ca="1" si="162"/>
        <v>136</v>
      </c>
      <c r="K364" s="453">
        <f t="shared" ca="1" si="161"/>
        <v>40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IFERROR(__xludf.DUMMYFUNCTION("IMPORTRANGE(""https://docs.google.com/spreadsheets/d/1QqKyyYR6Q21VydFLVH3TRQUabQu_ym0Zz7PgGX0-kHA/edit?usp=sharing"",""แผน!EJ53"")"),100)</f>
        <v>100</v>
      </c>
      <c r="J365" s="462">
        <f ca="1">J372</f>
        <v>34</v>
      </c>
      <c r="K365" s="463">
        <f t="shared" ca="1" si="161"/>
        <v>34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IFERROR(__xludf.DUMMYFUNCTION("IMPORTRANGE(""https://docs.google.com/spreadsheets/d/1XWAQStnk-4SwqDmLtmXYiTMKHgktTP8We1SCoS47DrQ/edit?usp=sharing"",""จัดที่ดิน!E53"")"),74)</f>
        <v>74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IFERROR(__xludf.DUMMYFUNCTION("IMPORTRANGE(""https://docs.google.com/spreadsheets/d/1QqKyyYR6Q21VydFLVH3TRQUabQu_ym0Zz7PgGX0-kHA/edit?usp=sharing"",""แผน!EI53"")"),1000)</f>
        <v>1000</v>
      </c>
      <c r="J369" s="37">
        <f ca="1">IFERROR(__xludf.DUMMYFUNCTION("IMPORTRANGE(""https://docs.google.com/spreadsheets/d/1XWAQStnk-4SwqDmLtmXYiTMKHgktTP8We1SCoS47DrQ/edit?usp=sharing"",""จัดที่ดิน!F53"")"),1393.54)</f>
        <v>1393.54</v>
      </c>
      <c r="K369" s="38">
        <f t="shared" ca="1" si="163"/>
        <v>139.35400000000001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IFERROR(__xludf.DUMMYFUNCTION("IMPORTRANGE(""https://docs.google.com/spreadsheets/d/1QqKyyYR6Q21VydFLVH3TRQUabQu_ym0Zz7PgGX0-kHA/edit?usp=sharing"",""แผน!EJ53"")"),100)</f>
        <v>100</v>
      </c>
      <c r="J370" s="37">
        <f ca="1">IFERROR(__xludf.DUMMYFUNCTION("IMPORTRANGE(""https://docs.google.com/spreadsheets/d/1XWAQStnk-4SwqDmLtmXYiTMKHgktTP8We1SCoS47DrQ/edit?usp=sharing"",""จัดที่ดิน!G53"")"),38)</f>
        <v>38</v>
      </c>
      <c r="K370" s="38">
        <f t="shared" ca="1" si="163"/>
        <v>38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IFERROR(__xludf.DUMMYFUNCTION("IMPORTRANGE(""https://docs.google.com/spreadsheets/d/1XWAQStnk-4SwqDmLtmXYiTMKHgktTP8We1SCoS47DrQ/edit?usp=sharing"",""จัดที่ดิน!H53"")"),451.1)</f>
        <v>451.1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IFERROR(__xludf.DUMMYFUNCTION("IMPORTRANGE(""https://docs.google.com/spreadsheets/d/1QqKyyYR6Q21VydFLVH3TRQUabQu_ym0Zz7PgGX0-kHA/edit?usp=sharing"",""แผน!EJ53"")"),100)</f>
        <v>100</v>
      </c>
      <c r="J372" s="37">
        <f ca="1">IFERROR(__xludf.DUMMYFUNCTION("IMPORTRANGE(""https://docs.google.com/spreadsheets/d/1XWAQStnk-4SwqDmLtmXYiTMKHgktTP8We1SCoS47DrQ/edit?usp=sharing"",""จัดที่ดิน!I53"")"),34)</f>
        <v>34</v>
      </c>
      <c r="K372" s="38">
        <f t="shared" ca="1" si="163"/>
        <v>34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IFERROR(__xludf.DUMMYFUNCTION("IMPORTRANGE(""https://docs.google.com/spreadsheets/d/1XWAQStnk-4SwqDmLtmXYiTMKHgktTP8We1SCoS47DrQ/edit?usp=sharing"",""จัดที่ดิน!J53"")"),482.6)</f>
        <v>482.6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IFERROR(__xludf.DUMMYFUNCTION("IMPORTRANGE(""https://docs.google.com/spreadsheets/d/1QqKyyYR6Q21VydFLVH3TRQUabQu_ym0Zz7PgGX0-kHA/edit?usp=sharing"",""แผน!EU53"")"),240)</f>
        <v>240</v>
      </c>
      <c r="J374" s="462">
        <f ca="1">J381</f>
        <v>102</v>
      </c>
      <c r="K374" s="463">
        <f t="shared" ca="1" si="163"/>
        <v>42.5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IFERROR(__xludf.DUMMYFUNCTION("IMPORTRANGE(""https://docs.google.com/spreadsheets/d/1XWAQStnk-4SwqDmLtmXYiTMKHgktTP8We1SCoS47DrQ/edit?usp=sharing"",""จัดที่ดิน!AH53"")"),205)</f>
        <v>205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IFERROR(__xludf.DUMMYFUNCTION("IMPORTRANGE(""https://docs.google.com/spreadsheets/d/1QqKyyYR6Q21VydFLVH3TRQUabQu_ym0Zz7PgGX0-kHA/edit?usp=sharing"",""แผน!ET53"")"),2000)</f>
        <v>2000</v>
      </c>
      <c r="J378" s="37">
        <f ca="1">IFERROR(__xludf.DUMMYFUNCTION("IMPORTRANGE(""https://docs.google.com/spreadsheets/d/1XWAQStnk-4SwqDmLtmXYiTMKHgktTP8We1SCoS47DrQ/edit?usp=sharing"",""จัดที่ดิน!AI53"")"),1679.54)</f>
        <v>1679.54</v>
      </c>
      <c r="K378" s="38">
        <f t="shared" ca="1" si="164"/>
        <v>83.977000000000004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IFERROR(__xludf.DUMMYFUNCTION("IMPORTRANGE(""https://docs.google.com/spreadsheets/d/1QqKyyYR6Q21VydFLVH3TRQUabQu_ym0Zz7PgGX0-kHA/edit?usp=sharing"",""แผน!EU53"")"),240)</f>
        <v>240</v>
      </c>
      <c r="J379" s="37">
        <f ca="1">IFERROR(__xludf.DUMMYFUNCTION("IMPORTRANGE(""https://docs.google.com/spreadsheets/d/1XWAQStnk-4SwqDmLtmXYiTMKHgktTP8We1SCoS47DrQ/edit?usp=sharing"",""จัดที่ดิน!AJ53"")"),106)</f>
        <v>106</v>
      </c>
      <c r="K379" s="38">
        <f t="shared" ca="1" si="164"/>
        <v>44.166666666666664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IFERROR(__xludf.DUMMYFUNCTION("IMPORTRANGE(""https://docs.google.com/spreadsheets/d/1XWAQStnk-4SwqDmLtmXYiTMKHgktTP8We1SCoS47DrQ/edit?usp=sharing"",""จัดที่ดิน!AK53"")"),1525.82)</f>
        <v>1525.82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IFERROR(__xludf.DUMMYFUNCTION("IMPORTRANGE(""https://docs.google.com/spreadsheets/d/1QqKyyYR6Q21VydFLVH3TRQUabQu_ym0Zz7PgGX0-kHA/edit?usp=sharing"",""แผน!EU53"")"),240)</f>
        <v>240</v>
      </c>
      <c r="J381" s="37">
        <f ca="1">IFERROR(__xludf.DUMMYFUNCTION("IMPORTRANGE(""https://docs.google.com/spreadsheets/d/1XWAQStnk-4SwqDmLtmXYiTMKHgktTP8We1SCoS47DrQ/edit?usp=sharing"",""จัดที่ดิน!AL53"")"),102)</f>
        <v>102</v>
      </c>
      <c r="K381" s="38">
        <f t="shared" ca="1" si="164"/>
        <v>42.5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IFERROR(__xludf.DUMMYFUNCTION("IMPORTRANGE(""https://docs.google.com/spreadsheets/d/1XWAQStnk-4SwqDmLtmXYiTMKHgktTP8We1SCoS47DrQ/edit?usp=sharing"",""จัดที่ดิน!AM53"")"),1494.34)</f>
        <v>1494.34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IFERROR(__xludf.DUMMYFUNCTION("IMPORTRANGE(""https://docs.google.com/spreadsheets/d/1QqKyyYR6Q21VydFLVH3TRQUabQu_ym0Zz7PgGX0-kHA/edit?usp=sharing"",""แผน!EW53"")"),10)</f>
        <v>10</v>
      </c>
      <c r="J385" s="365">
        <f ca="1">IFERROR(__xludf.DUMMYFUNCTION("IMPORTRANGE(""https://docs.google.com/spreadsheets/d/1XWAQStnk-4SwqDmLtmXYiTMKHgktTP8We1SCoS47DrQ/edit?usp=sharing"",""จัดที่ดิน!AP53"")"),25)</f>
        <v>25</v>
      </c>
      <c r="K385" s="472">
        <f ca="1">IF(I385&gt;0,J385*100/I385,0)</f>
        <v>250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IFERROR(__xludf.DUMMYFUNCTION("IMPORTRANGE(""https://docs.google.com/spreadsheets/d/1MeEWN-I1oV_STSDYn1IFDPWt_1FKiwhDph83XaGc0o0/edit?usp=sharing"",""งบพรบ!FG53"")"),0)</f>
        <v>0</v>
      </c>
      <c r="M394" s="45">
        <f ca="1">IFERROR(__xludf.DUMMYFUNCTION("IMPORTRANGE(""https://docs.google.com/spreadsheets/d/1MeEWN-I1oV_STSDYn1IFDPWt_1FKiwhDph83XaGc0o0/edit?usp=sharing"",""งบพรบ!FL53"")"),0)</f>
        <v>0</v>
      </c>
      <c r="N394" s="45">
        <f ca="1">IFERROR(__xludf.DUMMYFUNCTION("IMPORTRANGE(""https://docs.google.com/spreadsheets/d/1MeEWN-I1oV_STSDYn1IFDPWt_1FKiwhDph83XaGc0o0/edit?usp=sharing"",""งบพรบ!FN53"")"),0)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IFERROR(__xludf.DUMMYFUNCTION("IMPORTRANGE(""https://docs.google.com/spreadsheets/d/1MeEWN-I1oV_STSDYn1IFDPWt_1FKiwhDph83XaGc0o0/edit?usp=sharing"",""งบพรบ!FJ53"")"),0)</f>
        <v>0</v>
      </c>
      <c r="M397" s="45">
        <f ca="1">IFERROR(__xludf.DUMMYFUNCTION("IMPORTRANGE(""https://docs.google.com/spreadsheets/d/1MeEWN-I1oV_STSDYn1IFDPWt_1FKiwhDph83XaGc0o0/edit?usp=sharing"",""งบพรบ!FM53"")"),0)</f>
        <v>0</v>
      </c>
      <c r="N397" s="45">
        <f ca="1">IFERROR(__xludf.DUMMYFUNCTION("IMPORTRANGE(""https://docs.google.com/spreadsheets/d/1MeEWN-I1oV_STSDYn1IFDPWt_1FKiwhDph83XaGc0o0/edit?usp=sharing"",""งบพรบ!FO53"")"),0)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IFERROR(__xludf.DUMMYFUNCTION("IMPORTRANGE(""https://docs.google.com/spreadsheets/d/1MeEWN-I1oV_STSDYn1IFDPWt_1FKiwhDph83XaGc0o0/edit?usp=sharing"",""งบพรบ!FQ53"")"),0)</f>
        <v>0</v>
      </c>
      <c r="M407" s="45">
        <f ca="1">IFERROR(__xludf.DUMMYFUNCTION("IMPORTRANGE(""https://docs.google.com/spreadsheets/d/1MeEWN-I1oV_STSDYn1IFDPWt_1FKiwhDph83XaGc0o0/edit?usp=sharing"",""งบพรบ!FV53"")"),0)</f>
        <v>0</v>
      </c>
      <c r="N407" s="45">
        <f ca="1">IFERROR(__xludf.DUMMYFUNCTION("IMPORTRANGE(""https://docs.google.com/spreadsheets/d/1MeEWN-I1oV_STSDYn1IFDPWt_1FKiwhDph83XaGc0o0/edit?usp=sharing"",""งบพรบ!FX53"")"),0)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IFERROR(__xludf.DUMMYFUNCTION("IMPORTRANGE(""https://docs.google.com/spreadsheets/d/1MeEWN-I1oV_STSDYn1IFDPWt_1FKiwhDph83XaGc0o0/edit?usp=sharing"",""งบพรบ!FT53"")"),0)</f>
        <v>0</v>
      </c>
      <c r="M410" s="45">
        <f ca="1">IFERROR(__xludf.DUMMYFUNCTION("IMPORTRANGE(""https://docs.google.com/spreadsheets/d/1MeEWN-I1oV_STSDYn1IFDPWt_1FKiwhDph83XaGc0o0/edit?usp=sharing"",""งบพรบ!FW53"")"),0)</f>
        <v>0</v>
      </c>
      <c r="N410" s="45">
        <f ca="1">IFERROR(__xludf.DUMMYFUNCTION("IMPORTRANGE(""https://docs.google.com/spreadsheets/d/1MeEWN-I1oV_STSDYn1IFDPWt_1FKiwhDph83XaGc0o0/edit?usp=sharing"",""งบพรบ!FY53"")"),0)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3573261</v>
      </c>
      <c r="M414" s="518">
        <f t="shared" ca="1" si="181"/>
        <v>3573261</v>
      </c>
      <c r="N414" s="518">
        <f t="shared" si="181"/>
        <v>1707915.23</v>
      </c>
      <c r="O414" s="518">
        <f ca="1">IF(L414&gt;0,N414*100/L414,0)</f>
        <v>47.797102702545381</v>
      </c>
      <c r="P414" s="518">
        <f ca="1">IF(M414&gt;0,N414*100/M414,0)</f>
        <v>47.797102702545381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95860</v>
      </c>
      <c r="M419" s="154">
        <f t="shared" ca="1" si="184"/>
        <v>95860</v>
      </c>
      <c r="N419" s="154">
        <f t="shared" si="184"/>
        <v>81320</v>
      </c>
      <c r="O419" s="154">
        <f t="shared" ref="O419:O424" ca="1" si="185">IF(L419&gt;0,N419*100/L419,0)</f>
        <v>84.832046734821617</v>
      </c>
      <c r="P419" s="154">
        <f t="shared" ref="P419:P424" ca="1" si="186">IF(M419&gt;0,N419*100/M419,0)</f>
        <v>84.832046734821617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95860</v>
      </c>
      <c r="M421" s="45">
        <f t="shared" ca="1" si="187"/>
        <v>95860</v>
      </c>
      <c r="N421" s="45">
        <f t="shared" si="187"/>
        <v>81320</v>
      </c>
      <c r="O421" s="45">
        <f t="shared" ca="1" si="185"/>
        <v>84.832046734821617</v>
      </c>
      <c r="P421" s="45">
        <f t="shared" ca="1" si="186"/>
        <v>84.832046734821617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95860</v>
      </c>
      <c r="M422" s="38">
        <f t="shared" ca="1" si="188"/>
        <v>95860</v>
      </c>
      <c r="N422" s="38">
        <f t="shared" si="188"/>
        <v>81320</v>
      </c>
      <c r="O422" s="38">
        <f t="shared" ca="1" si="185"/>
        <v>84.832046734821617</v>
      </c>
      <c r="P422" s="38">
        <f t="shared" ca="1" si="186"/>
        <v>84.832046734821617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IFERROR(__xludf.DUMMYFUNCTION("IMPORTRANGE(""https://docs.google.com/spreadsheets/d/1QqKyyYR6Q21VydFLVH3TRQUabQu_ym0Zz7PgGX0-kHA/edit?usp=sharing"",""แผน!EY53"")"),95860)</f>
        <v>95860</v>
      </c>
      <c r="M424" s="45">
        <f ca="1">L424</f>
        <v>95860</v>
      </c>
      <c r="N424" s="45">
        <f>N425+N426+N427+N428</f>
        <v>81320</v>
      </c>
      <c r="O424" s="45">
        <f t="shared" ca="1" si="185"/>
        <v>84.832046734821617</v>
      </c>
      <c r="P424" s="45">
        <f t="shared" ca="1" si="186"/>
        <v>84.832046734821617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65020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16300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IFERROR(__xludf.DUMMYFUNCTION("IMPORTRANGE(""https://docs.google.com/spreadsheets/d/1QqKyyYR6Q21VydFLVH3TRQUabQu_ym0Zz7PgGX0-kHA/edit?usp=sharing"",""แผน!FB53"")"),0)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IFERROR(__xludf.DUMMYFUNCTION("IMPORTRANGE(""https://docs.google.com/spreadsheets/d/1QqKyyYR6Q21VydFLVH3TRQUabQu_ym0Zz7PgGX0-kHA/edit?usp=sharing"",""แผน!FC53"")"),20)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IFERROR(__xludf.DUMMYFUNCTION("IMPORTRANGE(""https://docs.google.com/spreadsheets/d/1QqKyyYR6Q21VydFLVH3TRQUabQu_ym0Zz7PgGX0-kHA/edit?usp=sharing"",""แผน!FD53"")"),0)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IFERROR(__xludf.DUMMYFUNCTION("IMPORTRANGE(""https://docs.google.com/spreadsheets/d/1QqKyyYR6Q21VydFLVH3TRQUabQu_ym0Zz7PgGX0-kHA/edit?usp=sharing"",""แผน!FE53"")"),0)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IFERROR(__xludf.DUMMYFUNCTION("IMPORTRANGE(""https://docs.google.com/spreadsheets/d/1QqKyyYR6Q21VydFLVH3TRQUabQu_ym0Zz7PgGX0-kHA/edit?usp=sharing"",""แผน!FF53"")"),20)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IFERROR(__xludf.DUMMYFUNCTION("IMPORTRANGE(""https://docs.google.com/spreadsheets/d/1QqKyyYR6Q21VydFLVH3TRQUabQu_ym0Zz7PgGX0-kHA/edit?usp=sharing"",""แผน!FG53"")"),1)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IFERROR(__xludf.DUMMYFUNCTION("IMPORTRANGE(""https://docs.google.com/spreadsheets/d/1QqKyyYR6Q21VydFLVH3TRQUabQu_ym0Zz7PgGX0-kHA/edit?usp=sharing"",""แผน!FH53"")"),0)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75</v>
      </c>
      <c r="J442" s="552">
        <f t="shared" si="195"/>
        <v>75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200</v>
      </c>
      <c r="J443" s="533">
        <f t="shared" si="196"/>
        <v>200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486400</v>
      </c>
      <c r="M444" s="191">
        <f t="shared" ca="1" si="197"/>
        <v>486400</v>
      </c>
      <c r="N444" s="191">
        <f t="shared" si="197"/>
        <v>250627</v>
      </c>
      <c r="O444" s="191">
        <f t="shared" ref="O444:O449" ca="1" si="198">IF(L444&gt;0,N444*100/L444,0)</f>
        <v>51.526932565789473</v>
      </c>
      <c r="P444" s="191">
        <f t="shared" ref="P444:P449" ca="1" si="199">IF(M444&gt;0,N444*100/M444,0)</f>
        <v>51.526932565789473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486400</v>
      </c>
      <c r="M446" s="45">
        <f t="shared" ca="1" si="200"/>
        <v>486400</v>
      </c>
      <c r="N446" s="45">
        <f t="shared" si="200"/>
        <v>250627</v>
      </c>
      <c r="O446" s="45">
        <f t="shared" ca="1" si="198"/>
        <v>51.526932565789473</v>
      </c>
      <c r="P446" s="45">
        <f t="shared" ca="1" si="199"/>
        <v>51.526932565789473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486400</v>
      </c>
      <c r="M447" s="38">
        <f t="shared" ca="1" si="201"/>
        <v>486400</v>
      </c>
      <c r="N447" s="38">
        <f t="shared" si="201"/>
        <v>250627</v>
      </c>
      <c r="O447" s="38">
        <f t="shared" ca="1" si="198"/>
        <v>51.526932565789473</v>
      </c>
      <c r="P447" s="38">
        <f t="shared" ca="1" si="199"/>
        <v>51.526932565789473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IFERROR(__xludf.DUMMYFUNCTION("IMPORTRANGE(""https://docs.google.com/spreadsheets/d/1QqKyyYR6Q21VydFLVH3TRQUabQu_ym0Zz7PgGX0-kHA/edit?usp=sharing"",""แผน!FJ53"")"),486400)</f>
        <v>486400</v>
      </c>
      <c r="M449" s="45">
        <f ca="1">L449</f>
        <v>486400</v>
      </c>
      <c r="N449" s="45">
        <f>N450+N451+N452+N453</f>
        <v>250627</v>
      </c>
      <c r="O449" s="45">
        <f t="shared" ca="1" si="198"/>
        <v>51.526932565789473</v>
      </c>
      <c r="P449" s="45">
        <f t="shared" ca="1" si="199"/>
        <v>51.526932565789473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97800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103567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49260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IFERROR(__xludf.DUMMYFUNCTION("IMPORTRANGE(""https://docs.google.com/spreadsheets/d/1QqKyyYR6Q21VydFLVH3TRQUabQu_ym0Zz7PgGX0-kHA/edit?usp=sharing"",""แผน!FM53"")"),0)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IFERROR(__xludf.DUMMYFUNCTION("IMPORTRANGE(""https://docs.google.com/spreadsheets/d/1QqKyyYR6Q21VydFLVH3TRQUabQu_ym0Zz7PgGX0-kHA/edit?usp=sharing"",""แผน!FN53"")"),75)</f>
        <v>75</v>
      </c>
      <c r="J460" s="181">
        <v>75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IFERROR(__xludf.DUMMYFUNCTION("IMPORTRANGE(""https://docs.google.com/spreadsheets/d/1QqKyyYR6Q21VydFLVH3TRQUabQu_ym0Zz7PgGX0-kHA/edit?usp=sharing"",""แผน!FO53"")"),200)</f>
        <v>200</v>
      </c>
      <c r="J462" s="181">
        <v>200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IFERROR(__xludf.DUMMYFUNCTION("IMPORTRANGE(""https://docs.google.com/spreadsheets/d/1QqKyyYR6Q21VydFLVH3TRQUabQu_ym0Zz7PgGX0-kHA/edit?usp=sharing"",""แผน!FO53"")"),200)</f>
        <v>200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IFERROR(__xludf.DUMMYFUNCTION("IMPORTRANGE(""https://docs.google.com/spreadsheets/d/1QqKyyYR6Q21VydFLVH3TRQUabQu_ym0Zz7PgGX0-kHA/edit?usp=sharing"",""แผน!FN53"")"),75)</f>
        <v>75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IFERROR(__xludf.DUMMYFUNCTION("IMPORTRANGE(""https://docs.google.com/spreadsheets/d/1QqKyyYR6Q21VydFLVH3TRQUabQu_ym0Zz7PgGX0-kHA/edit?usp=sharing"",""แผน!FX53"")"),131)</f>
        <v>131</v>
      </c>
      <c r="J465" s="552">
        <f>J485+J489+J492</f>
        <v>131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IFERROR(__xludf.DUMMYFUNCTION("IMPORTRANGE(""https://docs.google.com/spreadsheets/d/1QqKyyYR6Q21VydFLVH3TRQUabQu_ym0Zz7PgGX0-kHA/edit?usp=sharing"",""แผน!FW53"")"),1300)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1166838</v>
      </c>
      <c r="M467" s="191">
        <f t="shared" ca="1" si="206"/>
        <v>1166838</v>
      </c>
      <c r="N467" s="191">
        <f t="shared" si="206"/>
        <v>304561</v>
      </c>
      <c r="O467" s="191">
        <f t="shared" ref="O467:O472" ca="1" si="207">IF(L467&gt;0,N467*100/L467,0)</f>
        <v>26.101395395076267</v>
      </c>
      <c r="P467" s="191">
        <f t="shared" ref="P467:P472" ca="1" si="208">IF(M467&gt;0,N467*100/M467,0)</f>
        <v>26.101395395076267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1166838</v>
      </c>
      <c r="M469" s="45">
        <f t="shared" ca="1" si="209"/>
        <v>1166838</v>
      </c>
      <c r="N469" s="45">
        <f t="shared" si="209"/>
        <v>304561</v>
      </c>
      <c r="O469" s="45">
        <f t="shared" ca="1" si="207"/>
        <v>26.101395395076267</v>
      </c>
      <c r="P469" s="45">
        <f t="shared" ca="1" si="208"/>
        <v>26.101395395076267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1166838</v>
      </c>
      <c r="M470" s="38">
        <f t="shared" ca="1" si="210"/>
        <v>1166838</v>
      </c>
      <c r="N470" s="38">
        <f t="shared" si="210"/>
        <v>304561</v>
      </c>
      <c r="O470" s="38">
        <f t="shared" ca="1" si="207"/>
        <v>26.101395395076267</v>
      </c>
      <c r="P470" s="38">
        <f t="shared" ca="1" si="208"/>
        <v>26.101395395076267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IFERROR(__xludf.DUMMYFUNCTION("IMPORTRANGE(""https://docs.google.com/spreadsheets/d/1QqKyyYR6Q21VydFLVH3TRQUabQu_ym0Zz7PgGX0-kHA/edit?usp=sharing"",""แผน!FS53"")"),1166838)</f>
        <v>1166838</v>
      </c>
      <c r="M472" s="45">
        <f ca="1">L472</f>
        <v>1166838</v>
      </c>
      <c r="N472" s="45">
        <f>N473+N474+N475+N476</f>
        <v>304561</v>
      </c>
      <c r="O472" s="45">
        <f t="shared" ca="1" si="207"/>
        <v>26.101395395076267</v>
      </c>
      <c r="P472" s="45">
        <f t="shared" ca="1" si="208"/>
        <v>26.101395395076267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159821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104000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40740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IFERROR(__xludf.DUMMYFUNCTION("IMPORTRANGE(""https://docs.google.com/spreadsheets/d/1QqKyyYR6Q21VydFLVH3TRQUabQu_ym0Zz7PgGX0-kHA/edit?usp=sharing"",""แผน!FV53"")"),0)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IFERROR(__xludf.DUMMYFUNCTION("IMPORTRANGE(""https://docs.google.com/spreadsheets/d/1QqKyyYR6Q21VydFLVH3TRQUabQu_ym0Zz7PgGX0-kHA/edit?usp=sharing"",""แผน!FY53"")"),1170)</f>
        <v>1170</v>
      </c>
      <c r="J483" s="181">
        <v>1300</v>
      </c>
      <c r="K483" s="38">
        <f ca="1">IF(I483&gt;0,J483*100/I483,0)</f>
        <v>111.11111111111111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IFERROR(__xludf.DUMMYFUNCTION("IMPORTRANGE(""https://docs.google.com/spreadsheets/d/1QqKyyYR6Q21VydFLVH3TRQUabQu_ym0Zz7PgGX0-kHA/edit?usp=sharing"",""แผน!FZ53"")"),117)</f>
        <v>117</v>
      </c>
      <c r="J485" s="181">
        <v>130</v>
      </c>
      <c r="K485" s="38">
        <f ca="1">IF(I485&gt;0,J485*100/I485,0)</f>
        <v>111.11111111111111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IFERROR(__xludf.DUMMYFUNCTION("IMPORTRANGE(""https://docs.google.com/spreadsheets/d/1QqKyyYR6Q21VydFLVH3TRQUabQu_ym0Zz7PgGX0-kHA/edit?usp=sharing"",""แผน!GA53"")"),130)</f>
        <v>130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IFERROR(__xludf.DUMMYFUNCTION("IMPORTRANGE(""https://docs.google.com/spreadsheets/d/1QqKyyYR6Q21VydFLVH3TRQUabQu_ym0Zz7PgGX0-kHA/edit?usp=sharing"",""แผน!GB53"")"),13)</f>
        <v>13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IFERROR(__xludf.DUMMYFUNCTION("IMPORTRANGE(""https://docs.google.com/spreadsheets/d/1QqKyyYR6Q21VydFLVH3TRQUabQu_ym0Zz7PgGX0-kHA/edit?usp=sharing"",""แผน!FY53"")"),1170)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IFERROR(__xludf.DUMMYFUNCTION("IMPORTRANGE(""https://docs.google.com/spreadsheets/d/1QqKyyYR6Q21VydFLVH3TRQUabQu_ym0Zz7PgGX0-kHA/edit?usp=sharing"",""แผน!GA53"")"),130)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50</v>
      </c>
      <c r="J522" s="627">
        <f t="shared" ca="1" si="225"/>
        <v>50</v>
      </c>
      <c r="K522" s="628">
        <f ca="1">IF(I522&gt;0,J522*100/I522,0)</f>
        <v>100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427460</v>
      </c>
      <c r="M523" s="191">
        <f t="shared" ca="1" si="226"/>
        <v>427460</v>
      </c>
      <c r="N523" s="191">
        <f t="shared" si="226"/>
        <v>385003</v>
      </c>
      <c r="O523" s="191">
        <f t="shared" ref="O523:O528" ca="1" si="227">IF(L523&gt;0,N523*100/L523,0)</f>
        <v>90.067608665138252</v>
      </c>
      <c r="P523" s="191">
        <f t="shared" ref="P523:P528" ca="1" si="228">IF(M523&gt;0,N523*100/M523,0)</f>
        <v>90.067608665138252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427460</v>
      </c>
      <c r="M525" s="45">
        <f t="shared" ca="1" si="229"/>
        <v>427460</v>
      </c>
      <c r="N525" s="45">
        <f t="shared" si="229"/>
        <v>385003</v>
      </c>
      <c r="O525" s="45">
        <f t="shared" ca="1" si="227"/>
        <v>90.067608665138252</v>
      </c>
      <c r="P525" s="45">
        <f t="shared" ca="1" si="228"/>
        <v>90.067608665138252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427460</v>
      </c>
      <c r="M526" s="38">
        <f t="shared" ca="1" si="230"/>
        <v>427460</v>
      </c>
      <c r="N526" s="38">
        <f t="shared" si="230"/>
        <v>385003</v>
      </c>
      <c r="O526" s="38">
        <f t="shared" ca="1" si="227"/>
        <v>90.067608665138252</v>
      </c>
      <c r="P526" s="38">
        <f t="shared" ca="1" si="228"/>
        <v>90.067608665138252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IFERROR(__xludf.DUMMYFUNCTION("IMPORTRANGE(""https://docs.google.com/spreadsheets/d/1QqKyyYR6Q21VydFLVH3TRQUabQu_ym0Zz7PgGX0-kHA/edit?usp=sharing"",""แผน!GQ53"")"),427460)</f>
        <v>427460</v>
      </c>
      <c r="M528" s="45">
        <f ca="1">L528</f>
        <v>427460</v>
      </c>
      <c r="N528" s="45">
        <f>N529+N530+N531+N532</f>
        <v>385003</v>
      </c>
      <c r="O528" s="45">
        <f t="shared" ca="1" si="227"/>
        <v>90.067608665138252</v>
      </c>
      <c r="P528" s="45">
        <f t="shared" ca="1" si="228"/>
        <v>90.067608665138252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109713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250000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25290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IFERROR(__xludf.DUMMYFUNCTION("IMPORTRANGE(""https://docs.google.com/spreadsheets/d/1QqKyyYR6Q21VydFLVH3TRQUabQu_ym0Zz7PgGX0-kHA/edit?usp=sharing"",""แผน!GT53"")"),0)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IFERROR(__xludf.DUMMYFUNCTION("IMPORTRANGE(""https://docs.google.com/spreadsheets/d/1QqKyyYR6Q21VydFLVH3TRQUabQu_ym0Zz7PgGX0-kHA/edit?usp=sharing"",""แผน!GU53"")"),50)</f>
        <v>50</v>
      </c>
      <c r="J537" s="190">
        <f ca="1">IF(AND(J538=I538,J539=I539,J540=I540,J541=I541),I537,0)</f>
        <v>50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IFERROR(__xludf.DUMMYFUNCTION("IMPORTRANGE(""https://docs.google.com/spreadsheets/d/1QqKyyYR6Q21VydFLVH3TRQUabQu_ym0Zz7PgGX0-kHA/edit?usp=sharing"",""แผน!GV53"")"),50)</f>
        <v>50</v>
      </c>
      <c r="J538" s="181">
        <v>50</v>
      </c>
      <c r="K538" s="38">
        <f t="shared" ca="1" si="234"/>
        <v>100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IFERROR(__xludf.DUMMYFUNCTION("IMPORTRANGE(""https://docs.google.com/spreadsheets/d/1QqKyyYR6Q21VydFLVH3TRQUabQu_ym0Zz7PgGX0-kHA/edit?usp=sharing"",""แผน!GW53"")"),0)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IFERROR(__xludf.DUMMYFUNCTION("IMPORTRANGE(""https://docs.google.com/spreadsheets/d/1QqKyyYR6Q21VydFLVH3TRQUabQu_ym0Zz7PgGX0-kHA/edit?usp=sharing"",""แผน!GX53"")"),0)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IFERROR(__xludf.DUMMYFUNCTION("IMPORTRANGE(""https://docs.google.com/spreadsheets/d/1QqKyyYR6Q21VydFLVH3TRQUabQu_ym0Zz7PgGX0-kHA/edit?usp=sharing"",""แผน!GY53"")"),50)</f>
        <v>50</v>
      </c>
      <c r="J541" s="181">
        <v>50</v>
      </c>
      <c r="K541" s="38">
        <f t="shared" ca="1" si="234"/>
        <v>100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IFERROR(__xludf.DUMMYFUNCTION("IMPORTRANGE(""https://docs.google.com/spreadsheets/d/1QqKyyYR6Q21VydFLVH3TRQUabQu_ym0Zz7PgGX0-kHA/edit?usp=sharing"",""แผน!GZ53"")"),50)</f>
        <v>50</v>
      </c>
      <c r="J542" s="181">
        <v>50</v>
      </c>
      <c r="K542" s="38">
        <f t="shared" ca="1" si="234"/>
        <v>100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62938</v>
      </c>
      <c r="J543" s="635">
        <f t="shared" si="235"/>
        <v>48354.78</v>
      </c>
      <c r="K543" s="636">
        <f t="shared" ca="1" si="234"/>
        <v>76.829228764816165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989703</v>
      </c>
      <c r="M544" s="154">
        <f t="shared" ca="1" si="236"/>
        <v>989703</v>
      </c>
      <c r="N544" s="154">
        <f t="shared" si="236"/>
        <v>476000.23</v>
      </c>
      <c r="O544" s="154">
        <f t="shared" ref="O544:O549" ca="1" si="237">IF(L544&gt;0,N544*100/L544,0)</f>
        <v>48.095259891098642</v>
      </c>
      <c r="P544" s="154">
        <f t="shared" ref="P544:P549" ca="1" si="238">IF(M544&gt;0,N544*100/M544,0)</f>
        <v>48.095259891098642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989703</v>
      </c>
      <c r="M546" s="45">
        <f t="shared" ca="1" si="240"/>
        <v>989703</v>
      </c>
      <c r="N546" s="45">
        <f t="shared" si="240"/>
        <v>476000.23</v>
      </c>
      <c r="O546" s="45">
        <f t="shared" ca="1" si="237"/>
        <v>48.095259891098642</v>
      </c>
      <c r="P546" s="45">
        <f t="shared" ca="1" si="238"/>
        <v>48.095259891098642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989703</v>
      </c>
      <c r="M547" s="38">
        <f t="shared" ca="1" si="241"/>
        <v>989703</v>
      </c>
      <c r="N547" s="38">
        <f t="shared" si="241"/>
        <v>476000.23</v>
      </c>
      <c r="O547" s="38">
        <f t="shared" ca="1" si="237"/>
        <v>48.095259891098642</v>
      </c>
      <c r="P547" s="38">
        <f t="shared" ca="1" si="238"/>
        <v>48.095259891098642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IFERROR(__xludf.DUMMYFUNCTION("IMPORTRANGE(""https://docs.google.com/spreadsheets/d/1QqKyyYR6Q21VydFLVH3TRQUabQu_ym0Zz7PgGX0-kHA/edit?usp=sharing"",""แผน!HB53"")"),989703)</f>
        <v>989703</v>
      </c>
      <c r="M549" s="45">
        <f ca="1">L549</f>
        <v>989703</v>
      </c>
      <c r="N549" s="45">
        <f>N550+N551+N552+N553+N554</f>
        <v>476000.23</v>
      </c>
      <c r="O549" s="45">
        <f t="shared" ca="1" si="237"/>
        <v>48.095259891098642</v>
      </c>
      <c r="P549" s="45">
        <f t="shared" ca="1" si="238"/>
        <v>48.095259891098642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104000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372000.23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IFERROR(__xludf.DUMMYFUNCTION("IMPORTRANGE(""https://docs.google.com/spreadsheets/d/1QqKyyYR6Q21VydFLVH3TRQUabQu_ym0Zz7PgGX0-kHA/edit?usp=sharing"",""แผน!HF53"")"),0)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62938</v>
      </c>
      <c r="J559" s="627">
        <f t="shared" si="245"/>
        <v>48354.78</v>
      </c>
      <c r="K559" s="628">
        <f t="shared" ref="K559:K561" ca="1" si="246">IF(I559&gt;0,J559*100/I559,0)</f>
        <v>76.829228764816165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IFERROR(__xludf.DUMMYFUNCTION("IMPORTRANGE(""https://docs.google.com/spreadsheets/d/1QqKyyYR6Q21VydFLVH3TRQUabQu_ym0Zz7PgGX0-kHA/edit?usp=sharing"",""แผน!HH53"")"),62938)</f>
        <v>62938</v>
      </c>
      <c r="J560" s="189">
        <f t="shared" ref="J560:J561" si="247">J562+J564+J566</f>
        <v>62937.732499999998</v>
      </c>
      <c r="K560" s="390">
        <f t="shared" ca="1" si="246"/>
        <v>99.999574978550314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IFERROR(__xludf.DUMMYFUNCTION("IMPORTRANGE(""https://docs.google.com/spreadsheets/d/1QqKyyYR6Q21VydFLVH3TRQUabQu_ym0Zz7PgGX0-kHA/edit?usp=sharing"",""แผน!HG53"")"),4165)</f>
        <v>4165</v>
      </c>
      <c r="J561" s="189">
        <f t="shared" si="247"/>
        <v>4165</v>
      </c>
      <c r="K561" s="390">
        <f t="shared" ca="1" si="246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43021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3038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15782.717500000001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858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4134.0150000000003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269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IFERROR(__xludf.DUMMYFUNCTION("IMPORTRANGE(""https://docs.google.com/spreadsheets/d/1QqKyyYR6Q21VydFLVH3TRQUabQu_ym0Zz7PgGX0-kHA/edit?usp=sharing"",""แผน!HH53"")"),62938)</f>
        <v>62938</v>
      </c>
      <c r="J568" s="190">
        <f t="shared" ref="J568:J569" si="248">J570+J572+J574</f>
        <v>62938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IFERROR(__xludf.DUMMYFUNCTION("IMPORTRANGE(""https://docs.google.com/spreadsheets/d/1QqKyyYR6Q21VydFLVH3TRQUabQu_ym0Zz7PgGX0-kHA/edit?usp=sharing"",""แผน!HG53"")"),4165)</f>
        <v>4165</v>
      </c>
      <c r="J569" s="190">
        <f t="shared" si="248"/>
        <v>4165</v>
      </c>
      <c r="K569" s="390">
        <f t="shared" ca="1" si="249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43021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3038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15783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858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4134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269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IFERROR(__xludf.DUMMYFUNCTION("IMPORTRANGE(""https://docs.google.com/spreadsheets/d/1QqKyyYR6Q21VydFLVH3TRQUabQu_ym0Zz7PgGX0-kHA/edit?usp=sharing"",""แผน!HH53"")"),62938)</f>
        <v>62938</v>
      </c>
      <c r="J576" s="190">
        <f t="shared" ref="J576:J577" si="250">J578+J580+J582+J588+J590</f>
        <v>48354.78</v>
      </c>
      <c r="K576" s="390">
        <f t="shared" ref="K576:K577" ca="1" si="251">IF(I576&gt;0,J576*100/I576,0)</f>
        <v>76.829228764816165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IFERROR(__xludf.DUMMYFUNCTION("IMPORTRANGE(""https://docs.google.com/spreadsheets/d/1QqKyyYR6Q21VydFLVH3TRQUabQu_ym0Zz7PgGX0-kHA/edit?usp=sharing"",""แผน!HG53"")"),4165)</f>
        <v>4165</v>
      </c>
      <c r="J577" s="190">
        <f t="shared" si="250"/>
        <v>3319</v>
      </c>
      <c r="K577" s="390">
        <f t="shared" ca="1" si="251"/>
        <v>79.687875150060023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43021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3038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5189.78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276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144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5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144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5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36174.33</v>
      </c>
      <c r="J592" s="627">
        <f t="shared" si="253"/>
        <v>8253</v>
      </c>
      <c r="K592" s="628">
        <f t="shared" ref="K592:K594" ca="1" si="254">IF(I592&gt;0,J592*100/I592,0)</f>
        <v>22.814520683589716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IFERROR(__xludf.DUMMYFUNCTION("IMPORTRANGE(""https://docs.google.com/spreadsheets/d/1QqKyyYR6Q21VydFLVH3TRQUabQu_ym0Zz7PgGX0-kHA/edit?usp=sharing"",""แผน!HJ53"")"),36174.33)</f>
        <v>36174.33</v>
      </c>
      <c r="J593" s="189">
        <f t="shared" ref="J593:J594" si="255">J595+J603+J609</f>
        <v>8253</v>
      </c>
      <c r="K593" s="390">
        <f t="shared" ca="1" si="254"/>
        <v>22.814520683589716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IFERROR(__xludf.DUMMYFUNCTION("IMPORTRANGE(""https://docs.google.com/spreadsheets/d/1QqKyyYR6Q21VydFLVH3TRQUabQu_ym0Zz7PgGX0-kHA/edit?usp=sharing"",""แผน!HI53"")"),2161)</f>
        <v>2161</v>
      </c>
      <c r="J594" s="189">
        <f t="shared" si="255"/>
        <v>416</v>
      </c>
      <c r="K594" s="390">
        <f t="shared" ca="1" si="254"/>
        <v>19.250347061545583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7832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398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7832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398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421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18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421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18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IFERROR(__xludf.DUMMYFUNCTION("IMPORTRANGE(""https://docs.google.com/spreadsheets/d/1QqKyyYR6Q21VydFLVH3TRQUabQu_ym0Zz7PgGX0-kHA/edit?usp=sharing"",""แผน!HL53"")"),666)</f>
        <v>666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IFERROR(__xludf.DUMMYFUNCTION("IMPORTRANGE(""https://docs.google.com/spreadsheets/d/1QqKyyYR6Q21VydFLVH3TRQUabQu_ym0Zz7PgGX0-kHA/edit?usp=sharing"",""แผน!HK53"")"),26)</f>
        <v>26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70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380400</v>
      </c>
      <c r="M629" s="191">
        <f t="shared" ca="1" si="263"/>
        <v>380400</v>
      </c>
      <c r="N629" s="191">
        <f t="shared" si="263"/>
        <v>206269</v>
      </c>
      <c r="O629" s="191">
        <f t="shared" ref="O629:O634" ca="1" si="264">IF(L629&gt;0,N629*100/L629,0)</f>
        <v>54.224237644584647</v>
      </c>
      <c r="P629" s="191">
        <f t="shared" ref="P629:P634" ca="1" si="265">IF(M629&gt;0,N629*100/M629,0)</f>
        <v>54.224237644584647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380400</v>
      </c>
      <c r="M631" s="45">
        <f t="shared" ca="1" si="266"/>
        <v>380400</v>
      </c>
      <c r="N631" s="45">
        <f t="shared" si="266"/>
        <v>206269</v>
      </c>
      <c r="O631" s="45">
        <f t="shared" ca="1" si="264"/>
        <v>54.224237644584647</v>
      </c>
      <c r="P631" s="45">
        <f t="shared" ca="1" si="265"/>
        <v>54.224237644584647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380400</v>
      </c>
      <c r="M632" s="38">
        <f t="shared" ca="1" si="267"/>
        <v>380400</v>
      </c>
      <c r="N632" s="38">
        <f t="shared" si="267"/>
        <v>206269</v>
      </c>
      <c r="O632" s="38">
        <f t="shared" ca="1" si="264"/>
        <v>54.224237644584647</v>
      </c>
      <c r="P632" s="38">
        <f t="shared" ca="1" si="265"/>
        <v>54.224237644584647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IFERROR(__xludf.DUMMYFUNCTION("IMPORTRANGE(""https://docs.google.com/spreadsheets/d/1QqKyyYR6Q21VydFLVH3TRQUabQu_ym0Zz7PgGX0-kHA/edit?usp=sharing"",""แผน!HN53"")"),380400)</f>
        <v>380400</v>
      </c>
      <c r="M634" s="45">
        <f ca="1">L634</f>
        <v>380400</v>
      </c>
      <c r="N634" s="45">
        <f>N635+N636+N637+N638</f>
        <v>206269</v>
      </c>
      <c r="O634" s="45">
        <f t="shared" ca="1" si="264"/>
        <v>54.224237644584647</v>
      </c>
      <c r="P634" s="45">
        <f t="shared" ca="1" si="265"/>
        <v>54.224237644584647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103134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103135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IFERROR(__xludf.DUMMYFUNCTION("IMPORTRANGE(""https://docs.google.com/spreadsheets/d/1QqKyyYR6Q21VydFLVH3TRQUabQu_ym0Zz7PgGX0-kHA/edit?usp=sharing"",""แผน!HQ53"")"),0)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IFERROR(__xludf.DUMMYFUNCTION("IMPORTRANGE(""https://docs.google.com/spreadsheets/d/1QqKyyYR6Q21VydFLVH3TRQUabQu_ym0Zz7PgGX0-kHA/edit?usp=sharing"",""แผน!HR53"")"),2)</f>
        <v>2</v>
      </c>
      <c r="J643" s="181">
        <v>2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IFERROR(__xludf.DUMMYFUNCTION("IMPORTRANGE(""https://docs.google.com/spreadsheets/d/1QqKyyYR6Q21VydFLVH3TRQUabQu_ym0Zz7PgGX0-kHA/edit?usp=sharing"",""แผน!HR53"")"),2)</f>
        <v>2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IFERROR(__xludf.DUMMYFUNCTION("IMPORTRANGE(""https://docs.google.com/spreadsheets/d/1XWAQStnk-4SwqDmLtmXYiTMKHgktTP8We1SCoS47DrQ/edit?usp=sharing"",""จัดที่ดิน!AS53"")"),77)</f>
        <v>77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IFERROR(__xludf.DUMMYFUNCTION("IMPORTRANGE(""https://docs.google.com/spreadsheets/d/1XWAQStnk-4SwqDmLtmXYiTMKHgktTP8We1SCoS47DrQ/edit?usp=sharing"",""จัดที่ดิน!AT53"")"),56.28)</f>
        <v>56.28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IFERROR(__xludf.DUMMYFUNCTION("IMPORTRANGE(""https://docs.google.com/spreadsheets/d/1QqKyyYR6Q21VydFLVH3TRQUabQu_ym0Zz7PgGX0-kHA/edit?usp=sharing"",""แผน!HS53"")"),70)</f>
        <v>70</v>
      </c>
      <c r="J647" s="37">
        <f ca="1">IFERROR(__xludf.DUMMYFUNCTION("IMPORTRANGE(""https://docs.google.com/spreadsheets/d/1XWAQStnk-4SwqDmLtmXYiTMKHgktTP8We1SCoS47DrQ/edit?usp=sharing"",""จัดที่ดิน!AU53"")"),7)</f>
        <v>7</v>
      </c>
      <c r="K647" s="162">
        <f t="shared" ca="1" si="271"/>
        <v>10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IFERROR(__xludf.DUMMYFUNCTION("IMPORTRANGE(""https://docs.google.com/spreadsheets/d/1XWAQStnk-4SwqDmLtmXYiTMKHgktTP8We1SCoS47DrQ/edit?usp=sharing"",""จัดที่ดิน!AV53"")"),3.89)</f>
        <v>3.89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IFERROR(__xludf.DUMMYFUNCTION("IMPORTRANGE(""https://docs.google.com/spreadsheets/d/1QqKyyYR6Q21VydFLVH3TRQUabQu_ym0Zz7PgGX0-kHA/edit?usp=sharing"",""แผน!HS53"")"),70)</f>
        <v>70</v>
      </c>
      <c r="J649" s="37">
        <f ca="1">IFERROR(__xludf.DUMMYFUNCTION("IMPORTRANGE(""https://docs.google.com/spreadsheets/d/1XWAQStnk-4SwqDmLtmXYiTMKHgktTP8We1SCoS47DrQ/edit?usp=sharing"",""จัดที่ดิน!AW53"")"),7)</f>
        <v>7</v>
      </c>
      <c r="K649" s="162">
        <f t="shared" ca="1" si="271"/>
        <v>10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IFERROR(__xludf.DUMMYFUNCTION("IMPORTRANGE(""https://docs.google.com/spreadsheets/d/1XWAQStnk-4SwqDmLtmXYiTMKHgktTP8We1SCoS47DrQ/edit?usp=sharing"",""จัดที่ดิน!AX53"")"),3.26)</f>
        <v>3.26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IFERROR(__xludf.DUMMYFUNCTION("IMPORTRANGE(""https://docs.google.com/spreadsheets/d/1QqKyyYR6Q21VydFLVH3TRQUabQu_ym0Zz7PgGX0-kHA/edit?usp=sharing"",""แผน!HS53"")"),70)</f>
        <v>70</v>
      </c>
      <c r="J651" s="37">
        <f ca="1">IFERROR(__xludf.DUMMYFUNCTION("IMPORTRANGE(""https://docs.google.com/spreadsheets/d/1XWAQStnk-4SwqDmLtmXYiTMKHgktTP8We1SCoS47DrQ/edit?usp=sharing"",""จัดที่ดิน!AY53"")"),0)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IFERROR(__xludf.DUMMYFUNCTION("IMPORTRANGE(""https://docs.google.com/spreadsheets/d/1XWAQStnk-4SwqDmLtmXYiTMKHgktTP8We1SCoS47DrQ/edit?usp=sharing"",""จัดที่ดิน!AZ53"")"),0)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200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20000</v>
      </c>
      <c r="M655" s="191">
        <f t="shared" ca="1" si="273"/>
        <v>20000</v>
      </c>
      <c r="N655" s="191">
        <f t="shared" si="273"/>
        <v>4135</v>
      </c>
      <c r="O655" s="191">
        <f t="shared" ref="O655:O660" ca="1" si="274">IF(L655&gt;0,N655*100/L655,0)</f>
        <v>20.675000000000001</v>
      </c>
      <c r="P655" s="191">
        <f t="shared" ref="P655:P660" ca="1" si="275">IF(M655&gt;0,N655*100/M655,0)</f>
        <v>20.675000000000001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20000</v>
      </c>
      <c r="M657" s="45">
        <f t="shared" ca="1" si="276"/>
        <v>20000</v>
      </c>
      <c r="N657" s="45">
        <f t="shared" si="276"/>
        <v>4135</v>
      </c>
      <c r="O657" s="45">
        <f t="shared" ca="1" si="274"/>
        <v>20.675000000000001</v>
      </c>
      <c r="P657" s="45">
        <f t="shared" ca="1" si="275"/>
        <v>20.675000000000001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20000</v>
      </c>
      <c r="M658" s="38">
        <f t="shared" ca="1" si="277"/>
        <v>20000</v>
      </c>
      <c r="N658" s="38">
        <f t="shared" si="277"/>
        <v>4135</v>
      </c>
      <c r="O658" s="38">
        <f t="shared" ca="1" si="274"/>
        <v>20.675000000000001</v>
      </c>
      <c r="P658" s="38">
        <f t="shared" ca="1" si="275"/>
        <v>20.675000000000001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IFERROR(__xludf.DUMMYFUNCTION("IMPORTRANGE(""https://docs.google.com/spreadsheets/d/1QqKyyYR6Q21VydFLVH3TRQUabQu_ym0Zz7PgGX0-kHA/edit?usp=sharing"",""แผน!HV53"")"),20000)</f>
        <v>20000</v>
      </c>
      <c r="M660" s="45">
        <f ca="1">L660</f>
        <v>20000</v>
      </c>
      <c r="N660" s="45">
        <f>N661+N662+N663+N664</f>
        <v>4135</v>
      </c>
      <c r="O660" s="45">
        <f t="shared" ca="1" si="274"/>
        <v>20.675000000000001</v>
      </c>
      <c r="P660" s="45">
        <f t="shared" ca="1" si="275"/>
        <v>20.675000000000001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4135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IFERROR(__xludf.DUMMYFUNCTION("IMPORTRANGE(""https://docs.google.com/spreadsheets/d/1QqKyyYR6Q21VydFLVH3TRQUabQu_ym0Zz7PgGX0-kHA/edit?usp=sharing"",""แผน!IA53"")"),200)</f>
        <v>200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IFERROR(__xludf.DUMMYFUNCTION("IMPORTRANGE(""https://docs.google.com/spreadsheets/d/1QqKyyYR6Q21VydFLVH3TRQUabQu_ym0Zz7PgGX0-kHA/edit?usp=sharing"",""แผน!HZ53"")"),5)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IFERROR(__xludf.DUMMYFUNCTION("IMPORTRANGE(""https://docs.google.com/spreadsheets/d/1QqKyyYR6Q21VydFLVH3TRQUabQu_ym0Zz7PgGX0-kHA/edit?usp=sharing"",""แผน!HZ53"")"),5)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6600</v>
      </c>
      <c r="M685" s="191">
        <f t="shared" ca="1" si="282"/>
        <v>6600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6600</v>
      </c>
      <c r="M687" s="45">
        <f t="shared" ca="1" si="285"/>
        <v>6600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6600</v>
      </c>
      <c r="M688" s="38">
        <f t="shared" ca="1" si="286"/>
        <v>6600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IFERROR(__xludf.DUMMYFUNCTION("IMPORTRANGE(""https://docs.google.com/spreadsheets/d/1QqKyyYR6Q21VydFLVH3TRQUabQu_ym0Zz7PgGX0-kHA/edit?usp=sharing"",""แผน!HW53"")"),6600)</f>
        <v>6600</v>
      </c>
      <c r="M690" s="45">
        <f ca="1">L690</f>
        <v>6600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IFERROR(__xludf.DUMMYFUNCTION("IMPORTRANGE(""https://docs.google.com/spreadsheets/d/1QqKyyYR6Q21VydFLVH3TRQUabQu_ym0Zz7PgGX0-kHA/edit?usp=sharing"",""แผน!IC53"")"),0)</f>
        <v>0</v>
      </c>
      <c r="J699" s="37">
        <f ca="1">IFERROR(__xludf.DUMMYFUNCTION("IMPORTRANGE(""https://docs.google.com/spreadsheets/d/1XWAQStnk-4SwqDmLtmXYiTMKHgktTP8We1SCoS47DrQ/edit?usp=sharing"",""จัดที่ดิน!BB53"")"),0)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IFERROR(__xludf.DUMMYFUNCTION("IMPORTRANGE(""https://docs.google.com/spreadsheets/d/1QqKyyYR6Q21VydFLVH3TRQUabQu_ym0Zz7PgGX0-kHA/edit?usp=sharing"",""แผน!ID53"")"),0)</f>
        <v>0</v>
      </c>
      <c r="J700" s="37">
        <f ca="1">IFERROR(__xludf.DUMMYFUNCTION("IMPORTRANGE(""https://docs.google.com/spreadsheets/d/1XWAQStnk-4SwqDmLtmXYiTMKHgktTP8We1SCoS47DrQ/edit?usp=sharing"",""จัดที่ดิน!BD53"")"),0)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IFERROR(__xludf.DUMMYFUNCTION("IMPORTRANGE(""https://docs.google.com/spreadsheets/d/1QqKyyYR6Q21VydFLVH3TRQUabQu_ym0Zz7PgGX0-kHA/edit?usp=sharing"",""แผน!IE53"")"),0)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IFERROR(__xludf.DUMMYFUNCTION("IMPORTRANGE(""https://docs.google.com/spreadsheets/d/1QqKyyYR6Q21VydFLVH3TRQUabQu_ym0Zz7PgGX0-kHA/edit?usp=sharing"",""แผน!IF53"")"),0)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IFERROR(__xludf.DUMMYFUNCTION("IMPORTRANGE(""https://docs.google.com/spreadsheets/d/1QqKyyYR6Q21VydFLVH3TRQUabQu_ym0Zz7PgGX0-kHA/edit?usp=sharing"",""แผน!IG53"")"),0)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IFERROR(__xludf.DUMMYFUNCTION("IMPORTRANGE(""https://docs.google.com/spreadsheets/d/1QqKyyYR6Q21VydFLVH3TRQUabQu_ym0Zz7PgGX0-kHA/edit?usp=sharing"",""แผน!IH53"")"),0)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IFERROR(__xludf.DUMMYFUNCTION("IMPORTRANGE(""https://docs.google.com/spreadsheets/d/1XWAQStnk-4SwqDmLtmXYiTMKHgktTP8We1SCoS47DrQ/edit?usp=sharing"",""จัดที่ดิน!BF53"")"),0)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IFERROR(__xludf.DUMMYFUNCTION("IMPORTRANGE(""https://docs.google.com/spreadsheets/d/1XWAQStnk-4SwqDmLtmXYiTMKHgktTP8We1SCoS47DrQ/edit?usp=sharing"",""จัดที่ดิน!BG53"")"),0)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IFERROR(__xludf.DUMMYFUNCTION("IMPORTRANGE(""https://docs.google.com/spreadsheets/d/1QqKyyYR6Q21VydFLVH3TRQUabQu_ym0Zz7PgGX0-kHA/edit?usp=sharing"",""แผน!II53"")"),0)</f>
        <v>0</v>
      </c>
      <c r="J720" s="37">
        <f ca="1">IFERROR(__xludf.DUMMYFUNCTION("IMPORTRANGE(""https://docs.google.com/spreadsheets/d/1XWAQStnk-4SwqDmLtmXYiTMKHgktTP8We1SCoS47DrQ/edit?usp=sharing"",""จัดที่ดิน!BH53"")"),0)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IFERROR(__xludf.DUMMYFUNCTION("IMPORTRANGE(""https://docs.google.com/spreadsheets/d/1QqKyyYR6Q21VydFLVH3TRQUabQu_ym0Zz7PgGX0-kHA/edit?usp=sharing"",""แผน!IJ53"")"),5)</f>
        <v>5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IFERROR(__xludf.DUMMYFUNCTION("IMPORTRANGE(""https://docs.google.com/spreadsheets/d/1QqKyyYR6Q21VydFLVH3TRQUabQu_ym0Zz7PgGX0-kHA/edit?usp=sharing"",""แผน!IK53"")"),50)</f>
        <v>50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IFERROR(__xludf.DUMMYFUNCTION("IMPORTRANGE(""https://docs.google.com/spreadsheets/d/1QqKyyYR6Q21VydFLVH3TRQUabQu_ym0Zz7PgGX0-kHA/edit?usp=sharing"",""แผน!IL53"")"),5)</f>
        <v>5</v>
      </c>
      <c r="J723" s="37">
        <f ca="1">IFERROR(__xludf.DUMMYFUNCTION("IMPORTRANGE(""https://docs.google.com/spreadsheets/d/1XWAQStnk-4SwqDmLtmXYiTMKHgktTP8We1SCoS47DrQ/edit?usp=sharing"",""จัดที่ดิน!BM53"")"),0)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IFERROR(__xludf.DUMMYFUNCTION("IMPORTRANGE(""https://docs.google.com/spreadsheets/d/1XWAQStnk-4SwqDmLtmXYiTMKHgktTP8We1SCoS47DrQ/edit?usp=sharing"",""จัดที่ดิน!BN53"")"),0)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IFERROR(__xludf.DUMMYFUNCTION("IMPORTRANGE(""https://docs.google.com/spreadsheets/d/1QqKyyYR6Q21VydFLVH3TRQUabQu_ym0Zz7PgGX0-kHA/edit?usp=sharing"",""แผน!IM53"")"),50)</f>
        <v>50</v>
      </c>
      <c r="J725" s="37">
        <f ca="1">IFERROR(__xludf.DUMMYFUNCTION("IMPORTRANGE(""https://docs.google.com/spreadsheets/d/1XWAQStnk-4SwqDmLtmXYiTMKHgktTP8We1SCoS47DrQ/edit?usp=sharing"",""จัดที่ดิน!BO53"")"),0)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IFERROR(__xludf.DUMMYFUNCTION("IMPORTRANGE(""https://docs.google.com/spreadsheets/d/1QqKyyYR6Q21VydFLVH3TRQUabQu_ym0Zz7PgGX0-kHA/edit?usp=sharing"",""แผน!IN53"")"),0)</f>
        <v>0</v>
      </c>
      <c r="J726" s="37">
        <f ca="1">IFERROR(__xludf.DUMMYFUNCTION("IMPORTRANGE(""https://docs.google.com/spreadsheets/d/1XWAQStnk-4SwqDmLtmXYiTMKHgktTP8We1SCoS47DrQ/edit?usp=sharing"",""จัดที่ดิน!BR53"")"),0)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IFERROR(__xludf.DUMMYFUNCTION("IMPORTRANGE(""https://docs.google.com/spreadsheets/d/1XWAQStnk-4SwqDmLtmXYiTMKHgktTP8We1SCoS47DrQ/edit?usp=sharing"",""จัดที่ดิน!BS53"")"),0)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IFERROR(__xludf.DUMMYFUNCTION("IMPORTRANGE(""https://docs.google.com/spreadsheets/d/1QqKyyYR6Q21VydFLVH3TRQUabQu_ym0Zz7PgGX0-kHA/edit?usp=sharing"",""แผน!IO53"")"),0)</f>
        <v>0</v>
      </c>
      <c r="J728" s="37">
        <f ca="1">IFERROR(__xludf.DUMMYFUNCTION("IMPORTRANGE(""https://docs.google.com/spreadsheets/d/1XWAQStnk-4SwqDmLtmXYiTMKHgktTP8We1SCoS47DrQ/edit?usp=sharing"",""จัดที่ดิน!BT53"")"),0)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IFERROR(__xludf.DUMMYFUNCTION("IMPORTRANGE(""https://docs.google.com/spreadsheets/d/1QqKyyYR6Q21VydFLVH3TRQUabQu_ym0Zz7PgGX0-kHA/edit?usp=sharing"",""แผน!IP53"")"),50)</f>
        <v>50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IFERROR(__xludf.DUMMYFUNCTION("IMPORTRANGE(""https://docs.google.com/spreadsheets/d/1QqKyyYR6Q21VydFLVH3TRQUabQu_ym0Zz7PgGX0-kHA/edit?usp=sharing"",""แผน!JJ53"")"),0)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IFERROR(__xludf.DUMMYFUNCTION("IMPORTRANGE(""https://docs.google.com/spreadsheets/d/1QqKyyYR6Q21VydFLVH3TRQUabQu_ym0Zz7PgGX0-kHA/edit?usp=sharing"",""แผน!JN53"")"),0)</f>
        <v>0</v>
      </c>
      <c r="J800" s="161">
        <f ca="1">IFERROR(__xludf.DUMMYFUNCTION("IMPORTRANGE(""https://docs.google.com/spreadsheets/d/1MaWodYyGHDf7siQLGxnXhG4mBNTNIuy296niS2xXulU/edit?usp=sharing"",""RTK!H53"")"),0)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IFERROR(__xludf.DUMMYFUNCTION("IMPORTRANGE(""https://docs.google.com/spreadsheets/d/1MaWodYyGHDf7siQLGxnXhG4mBNTNIuy296niS2xXulU/edit?usp=sharing"",""RTK!I53"")"),0)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83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37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38">
        <f t="shared" ref="K821:K828" ca="1" si="335">IF(I821&gt;0,J821*100/I821,0)</f>
        <v>64.326899728080917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IFERROR(__xludf.DUMMYFUNCTION("IMPORTRANGE(""https://docs.google.com/spreadsheets/d/19vJNZY_5yjcGF2XGBMNZRCAIB0Kwfpjp8YEOfu-bneM/edit?usp=sharing"",""งานกองทุน!C53"")"),71)</f>
        <v>71</v>
      </c>
      <c r="J822" s="37">
        <f ca="1">IFERROR(__xludf.DUMMYFUNCTION("IMPORTRANGE(""https://docs.google.com/spreadsheets/d/19vJNZY_5yjcGF2XGBMNZRCAIB0Kwfpjp8YEOfu-bneM/edit?usp=sharing"",""งานกองทุน!E53"")"),46)</f>
        <v>46</v>
      </c>
      <c r="K822" s="38">
        <f t="shared" ca="1" si="335"/>
        <v>64.788732394366193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37">
        <f ca="1">IFERROR(__xludf.DUMMYFUNCTION("IMPORTRANGE(""https://docs.google.com/spreadsheets/d/19vJNZY_5yjcGF2XGBMNZRCAIB0Kwfpjp8YEOfu-bneM/edit?usp=sharing"",""งานกองทุน!K53"")"),1004174.04)</f>
        <v>1004174.04</v>
      </c>
      <c r="K823" s="38">
        <f t="shared" ca="1" si="335"/>
        <v>5.1387655238132819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IFERROR(__xludf.DUMMYFUNCTION("IMPORTRANGE(""https://docs.google.com/spreadsheets/d/19vJNZY_5yjcGF2XGBMNZRCAIB0Kwfpjp8YEOfu-bneM/edit?usp=sharing"",""งานกองทุน!H53"")"),669)</f>
        <v>669</v>
      </c>
      <c r="J824" s="37">
        <f ca="1">IFERROR(__xludf.DUMMYFUNCTION("IMPORTRANGE(""https://docs.google.com/spreadsheets/d/19vJNZY_5yjcGF2XGBMNZRCAIB0Kwfpjp8YEOfu-bneM/edit?usp=sharing"",""งานกองทุน!J53"")"),98)</f>
        <v>98</v>
      </c>
      <c r="K824" s="38">
        <f t="shared" ca="1" si="335"/>
        <v>14.648729446935725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37">
        <f ca="1">IFERROR(__xludf.DUMMYFUNCTION("IMPORTRANGE(""https://docs.google.com/spreadsheets/d/19vJNZY_5yjcGF2XGBMNZRCAIB0Kwfpjp8YEOfu-bneM/edit?usp=sharing"",""งานกองทุน!P53"")"),174613.14)</f>
        <v>174613.14</v>
      </c>
      <c r="K825" s="38">
        <f t="shared" ca="1" si="335"/>
        <v>25.096809478325753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IFERROR(__xludf.DUMMYFUNCTION("IMPORTRANGE(""https://docs.google.com/spreadsheets/d/19vJNZY_5yjcGF2XGBMNZRCAIB0Kwfpjp8YEOfu-bneM/edit?usp=sharing"",""งานกองทุน!M53"")"),214)</f>
        <v>214</v>
      </c>
      <c r="J826" s="37">
        <f ca="1">IFERROR(__xludf.DUMMYFUNCTION("IMPORTRANGE(""https://docs.google.com/spreadsheets/d/19vJNZY_5yjcGF2XGBMNZRCAIB0Kwfpjp8YEOfu-bneM/edit?usp=sharing"",""งานกองทุน!O53"")"),61)</f>
        <v>61</v>
      </c>
      <c r="K826" s="38">
        <f t="shared" ca="1" si="335"/>
        <v>28.504672897196262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IFERROR(__xludf.DUMMYFUNCTION("IMPORTRANGE(""https://docs.google.com/spreadsheets/d/19vJNZY_5yjcGF2XGBMNZRCAIB0Kwfpjp8YEOfu-bneM/edit?usp=sharing"",""งานกองทุน!S53"")"),4050000)</f>
        <v>4050000</v>
      </c>
      <c r="J827" s="37">
        <f ca="1">IFERROR(__xludf.DUMMYFUNCTION("IMPORTRANGE(""https://docs.google.com/spreadsheets/d/19vJNZY_5yjcGF2XGBMNZRCAIB0Kwfpjp8YEOfu-bneM/edit?usp=sharing"",""งานกองทุน!U53"")"),2100000)</f>
        <v>2100000</v>
      </c>
      <c r="K827" s="38">
        <f t="shared" ca="1" si="335"/>
        <v>51.851851851851855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IFERROR(__xludf.DUMMYFUNCTION("IMPORTRANGE(""https://docs.google.com/spreadsheets/d/19vJNZY_5yjcGF2XGBMNZRCAIB0Kwfpjp8YEOfu-bneM/edit?usp=sharing"",""งานกองทุน!R53"")"),162)</f>
        <v>162</v>
      </c>
      <c r="J828" s="365">
        <f ca="1">IFERROR(__xludf.DUMMYFUNCTION("IMPORTRANGE(""https://docs.google.com/spreadsheets/d/19vJNZY_5yjcGF2XGBMNZRCAIB0Kwfpjp8YEOfu-bneM/edit?usp=sharing"",""งานกองทุน!T53"")"),42)</f>
        <v>42</v>
      </c>
      <c r="K828" s="472">
        <f t="shared" ca="1" si="335"/>
        <v>25.925925925925927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1C47-8F09-461A-BD5E-C85A9FE989C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3" bestFit="1" customWidth="1"/>
    <col min="11" max="11" width="12.36328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359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2198045</v>
      </c>
      <c r="N8" s="22">
        <f t="shared" ca="1" si="0"/>
        <v>1840982.8399999999</v>
      </c>
      <c r="O8" s="22">
        <f t="shared" ref="O8:O16" ca="1" si="1">IF(L8&gt;0,N8*100/L8,0)</f>
        <v>85.54653593708251</v>
      </c>
      <c r="P8" s="22">
        <f t="shared" ref="P8:P16" ca="1" si="2">IF(M8&gt;0,N8*100/M8,0)</f>
        <v>83.755466334856663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2198045</v>
      </c>
      <c r="N10" s="30">
        <f t="shared" ca="1" si="3"/>
        <v>1840982.8399999999</v>
      </c>
      <c r="O10" s="30">
        <f t="shared" ca="1" si="1"/>
        <v>85.54653593708251</v>
      </c>
      <c r="P10" s="30">
        <f t="shared" ca="1" si="2"/>
        <v>83.755466334856663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2099225</v>
      </c>
      <c r="M11" s="38">
        <f t="shared" ca="1" si="4"/>
        <v>2146005</v>
      </c>
      <c r="N11" s="38">
        <f t="shared" ca="1" si="4"/>
        <v>1788942.8399999999</v>
      </c>
      <c r="O11" s="38">
        <f t="shared" ca="1" si="1"/>
        <v>85.219204230132547</v>
      </c>
      <c r="P11" s="38">
        <f t="shared" ca="1" si="2"/>
        <v>83.361541096129784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2099225</v>
      </c>
      <c r="M13" s="45">
        <f t="shared" ca="1" si="5"/>
        <v>2146005</v>
      </c>
      <c r="N13" s="45">
        <f t="shared" ca="1" si="5"/>
        <v>1788942.8399999999</v>
      </c>
      <c r="O13" s="45">
        <f t="shared" ca="1" si="1"/>
        <v>85.219204230132547</v>
      </c>
      <c r="P13" s="45">
        <f t="shared" ca="1" si="2"/>
        <v>83.361541096129784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52800</v>
      </c>
      <c r="M14" s="38">
        <f t="shared" ca="1" si="6"/>
        <v>52040</v>
      </c>
      <c r="N14" s="38">
        <f t="shared" ca="1" si="6"/>
        <v>52040</v>
      </c>
      <c r="O14" s="38">
        <f t="shared" ca="1" si="1"/>
        <v>98.560606060606062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2054545</v>
      </c>
      <c r="N18" s="22">
        <f t="shared" ca="1" si="8"/>
        <v>1757471.8399999999</v>
      </c>
      <c r="O18" s="22">
        <f t="shared" ref="O18:O26" ca="1" si="9">IF(L18&gt;0,N18*100/L18,0)</f>
        <v>87.500620604672577</v>
      </c>
      <c r="P18" s="22">
        <f t="shared" ref="P18:P26" ca="1" si="10">IF(M18&gt;0,N18*100/M18,0)</f>
        <v>85.540683703691087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2054545</v>
      </c>
      <c r="N20" s="30">
        <f t="shared" ca="1" si="11"/>
        <v>1757471.8399999999</v>
      </c>
      <c r="O20" s="30">
        <f t="shared" ca="1" si="9"/>
        <v>87.500620604672577</v>
      </c>
      <c r="P20" s="30">
        <f t="shared" ca="1" si="10"/>
        <v>85.540683703691087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1955725</v>
      </c>
      <c r="M21" s="38">
        <f t="shared" ca="1" si="12"/>
        <v>2002505</v>
      </c>
      <c r="N21" s="38">
        <f t="shared" ca="1" si="12"/>
        <v>1705431.8399999999</v>
      </c>
      <c r="O21" s="38">
        <f t="shared" ca="1" si="9"/>
        <v>87.202026869830874</v>
      </c>
      <c r="P21" s="38">
        <f t="shared" ca="1" si="10"/>
        <v>85.164922934025128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1955725</v>
      </c>
      <c r="M23" s="45">
        <f t="shared" ca="1" si="13"/>
        <v>2002505</v>
      </c>
      <c r="N23" s="45">
        <f t="shared" ca="1" si="13"/>
        <v>1705431.8399999999</v>
      </c>
      <c r="O23" s="45">
        <f t="shared" ca="1" si="9"/>
        <v>87.202026869830874</v>
      </c>
      <c r="P23" s="45">
        <f t="shared" ca="1" si="10"/>
        <v>85.164922934025128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52800</v>
      </c>
      <c r="M24" s="38">
        <f t="shared" ca="1" si="14"/>
        <v>52040</v>
      </c>
      <c r="N24" s="38">
        <f t="shared" ca="1" si="14"/>
        <v>52040</v>
      </c>
      <c r="O24" s="38">
        <f t="shared" ca="1" si="9"/>
        <v>98.560606060606062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83511</v>
      </c>
      <c r="O28" s="22">
        <f t="shared" ref="O28:O37" ca="1" si="17">IF(L28&gt;0,N28*100/L28,0)</f>
        <v>58.195818815331009</v>
      </c>
      <c r="P28" s="22">
        <f t="shared" ref="P28:P37" ca="1" si="18">IF(M28&gt;0,N28*100/M28,0)</f>
        <v>58.195818815331009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83511</v>
      </c>
      <c r="O30" s="30">
        <f t="shared" ca="1" si="17"/>
        <v>58.195818815331009</v>
      </c>
      <c r="P30" s="30">
        <f t="shared" ca="1" si="18"/>
        <v>58.195818815331009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143500</v>
      </c>
      <c r="M31" s="38">
        <f t="shared" ca="1" si="20"/>
        <v>143500</v>
      </c>
      <c r="N31" s="38">
        <f t="shared" si="20"/>
        <v>83511</v>
      </c>
      <c r="O31" s="38">
        <f t="shared" ca="1" si="17"/>
        <v>58.195818815331009</v>
      </c>
      <c r="P31" s="38">
        <f t="shared" ca="1" si="18"/>
        <v>58.195818815331009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143500</v>
      </c>
      <c r="M33" s="45">
        <f t="shared" ca="1" si="21"/>
        <v>143500</v>
      </c>
      <c r="N33" s="45">
        <f t="shared" si="21"/>
        <v>83511</v>
      </c>
      <c r="O33" s="45">
        <f t="shared" ca="1" si="17"/>
        <v>58.195818815331009</v>
      </c>
      <c r="P33" s="45">
        <f t="shared" ca="1" si="18"/>
        <v>58.195818815331009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2054545</v>
      </c>
      <c r="N37" s="59">
        <f t="shared" ca="1" si="24"/>
        <v>1757471.8399999999</v>
      </c>
      <c r="O37" s="59">
        <f t="shared" ca="1" si="17"/>
        <v>87.500620604672577</v>
      </c>
      <c r="P37" s="59">
        <f t="shared" ca="1" si="18"/>
        <v>85.540683703691087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316710</v>
      </c>
      <c r="N41" s="85">
        <f t="shared" ca="1" si="25"/>
        <v>271610</v>
      </c>
      <c r="O41" s="85">
        <f t="shared" ref="O41:O49" ca="1" si="26">IF(L41&gt;0,N41*100/L41,0)</f>
        <v>89.729104724149323</v>
      </c>
      <c r="P41" s="85">
        <f t="shared" ref="P41:P49" ca="1" si="27">IF(M41&gt;0,N41*100/M41,0)</f>
        <v>85.759843389851909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316710</v>
      </c>
      <c r="N43" s="92">
        <f t="shared" ca="1" si="28"/>
        <v>271610</v>
      </c>
      <c r="O43" s="92">
        <f t="shared" ca="1" si="26"/>
        <v>89.729104724149323</v>
      </c>
      <c r="P43" s="92">
        <f t="shared" ca="1" si="27"/>
        <v>85.759843389851909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302700</v>
      </c>
      <c r="M44" s="38">
        <f t="shared" ca="1" si="29"/>
        <v>316710</v>
      </c>
      <c r="N44" s="38">
        <f t="shared" ca="1" si="29"/>
        <v>271610</v>
      </c>
      <c r="O44" s="38">
        <f t="shared" ca="1" si="26"/>
        <v>89.729104724149323</v>
      </c>
      <c r="P44" s="38">
        <f t="shared" ca="1" si="27"/>
        <v>85.759843389851909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IFERROR(__xludf.DUMMYFUNCTION("IMPORTRANGE(""https://docs.google.com/spreadsheets/d/1MeEWN-I1oV_STSDYn1IFDPWt_1FKiwhDph83XaGc0o0/edit?usp=sharing"",""งบพรบ!M71"")"),302700)</f>
        <v>302700</v>
      </c>
      <c r="M46" s="45">
        <f ca="1">IFERROR(__xludf.DUMMYFUNCTION("IMPORTRANGE(""https://docs.google.com/spreadsheets/d/1MeEWN-I1oV_STSDYn1IFDPWt_1FKiwhDph83XaGc0o0/edit?usp=sharing"",""งบพรบ!R71"")"),316710)</f>
        <v>316710</v>
      </c>
      <c r="N46" s="45">
        <f ca="1">IFERROR(__xludf.DUMMYFUNCTION("IMPORTRANGE(""https://docs.google.com/spreadsheets/d/1MeEWN-I1oV_STSDYn1IFDPWt_1FKiwhDph83XaGc0o0/edit?usp=sharing"",""งบพรบ!T71"")"),271610)</f>
        <v>271610</v>
      </c>
      <c r="O46" s="45">
        <f t="shared" ca="1" si="26"/>
        <v>89.729104724149323</v>
      </c>
      <c r="P46" s="45">
        <f t="shared" ca="1" si="27"/>
        <v>85.759843389851909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887900</v>
      </c>
      <c r="M53" s="115">
        <f t="shared" ca="1" si="31"/>
        <v>887900</v>
      </c>
      <c r="N53" s="115">
        <f t="shared" ca="1" si="31"/>
        <v>764956.58</v>
      </c>
      <c r="O53" s="115">
        <f t="shared" ref="O53:O61" ca="1" si="32">IF(L53&gt;0,N53*100/L53,0)</f>
        <v>86.153460975335065</v>
      </c>
      <c r="P53" s="115">
        <f t="shared" ref="P53:P61" ca="1" si="33">IF(M53&gt;0,N53*100/M53,0)</f>
        <v>86.153460975335065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887900</v>
      </c>
      <c r="M55" s="122">
        <f t="shared" ca="1" si="34"/>
        <v>887900</v>
      </c>
      <c r="N55" s="122">
        <f t="shared" ca="1" si="34"/>
        <v>764956.58</v>
      </c>
      <c r="O55" s="122">
        <f t="shared" ca="1" si="32"/>
        <v>86.153460975335065</v>
      </c>
      <c r="P55" s="122">
        <f t="shared" ca="1" si="33"/>
        <v>86.153460975335065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887900</v>
      </c>
      <c r="M56" s="38">
        <f t="shared" ca="1" si="35"/>
        <v>887900</v>
      </c>
      <c r="N56" s="38">
        <f t="shared" ca="1" si="35"/>
        <v>764956.58</v>
      </c>
      <c r="O56" s="38">
        <f t="shared" ca="1" si="32"/>
        <v>86.153460975335065</v>
      </c>
      <c r="P56" s="38">
        <f t="shared" ca="1" si="33"/>
        <v>86.153460975335065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IFERROR(__xludf.DUMMYFUNCTION("IMPORTRANGE(""https://docs.google.com/spreadsheets/d/1MeEWN-I1oV_STSDYn1IFDPWt_1FKiwhDph83XaGc0o0/edit?usp=sharing"",""งบพรบ!W71"")"),887900)</f>
        <v>887900</v>
      </c>
      <c r="M58" s="45">
        <f ca="1">IFERROR(__xludf.DUMMYFUNCTION("IMPORTRANGE(""https://docs.google.com/spreadsheets/d/1MeEWN-I1oV_STSDYn1IFDPWt_1FKiwhDph83XaGc0o0/edit?usp=sharing"",""งบพรบ!AB71"")"),887900)</f>
        <v>887900</v>
      </c>
      <c r="N58" s="45">
        <f ca="1">IFERROR(__xludf.DUMMYFUNCTION("IMPORTRANGE(""https://docs.google.com/spreadsheets/d/1MeEWN-I1oV_STSDYn1IFDPWt_1FKiwhDph83XaGc0o0/edit?usp=sharing"",""งบพรบ!AD71"")"),764956.58)</f>
        <v>764956.58</v>
      </c>
      <c r="O58" s="45">
        <f t="shared" ca="1" si="32"/>
        <v>86.153460975335065</v>
      </c>
      <c r="P58" s="45">
        <f t="shared" ca="1" si="33"/>
        <v>86.153460975335065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IFERROR(__xludf.DUMMYFUNCTION("IMPORTRANGE(""https://docs.google.com/spreadsheets/d/1MeEWN-I1oV_STSDYn1IFDPWt_1FKiwhDph83XaGc0o0/edit?usp=sharing"",""งบพรบ!AG71"")"),0)</f>
        <v>0</v>
      </c>
      <c r="M71" s="45">
        <f ca="1">IFERROR(__xludf.DUMMYFUNCTION("IMPORTRANGE(""https://docs.google.com/spreadsheets/d/1MeEWN-I1oV_STSDYn1IFDPWt_1FKiwhDph83XaGc0o0/edit?usp=sharing"",""งบพรบ!AL71"")"),0)</f>
        <v>0</v>
      </c>
      <c r="N71" s="45">
        <f ca="1">IFERROR(__xludf.DUMMYFUNCTION("IMPORTRANGE(""https://docs.google.com/spreadsheets/d/1MeEWN-I1oV_STSDYn1IFDPWt_1FKiwhDph83XaGc0o0/edit?usp=sharing"",""งบพรบ!AN71"")"),0)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IFERROR(__xludf.DUMMYFUNCTION("IMPORTRANGE(""https://docs.google.com/spreadsheets/d/1MeEWN-I1oV_STSDYn1IFDPWt_1FKiwhDph83XaGc0o0/edit?usp=sharing"",""งบพรบ!AJ71"")"),0)</f>
        <v>0</v>
      </c>
      <c r="M74" s="45">
        <f ca="1">IFERROR(__xludf.DUMMYFUNCTION("IMPORTRANGE(""https://docs.google.com/spreadsheets/d/1MeEWN-I1oV_STSDYn1IFDPWt_1FKiwhDph83XaGc0o0/edit?usp=sharing"",""งบพรบ!AM71"")"),0)</f>
        <v>0</v>
      </c>
      <c r="N74" s="45">
        <f ca="1">IFERROR(__xludf.DUMMYFUNCTION("IMPORTRANGE(""https://docs.google.com/spreadsheets/d/1MeEWN-I1oV_STSDYn1IFDPWt_1FKiwhDph83XaGc0o0/edit?usp=sharing"",""งบพรบ!AO71"")"),0)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IFERROR(__xludf.DUMMYFUNCTION("IMPORTRANGE(""https://docs.google.com/spreadsheets/d/1QqKyyYR6Q21VydFLVH3TRQUabQu_ym0Zz7PgGX0-kHA/edit?usp=sharing"",""แผน!H71"")"),0)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IFERROR(__xludf.DUMMYFUNCTION("IMPORTRANGE(""https://docs.google.com/spreadsheets/d/1QqKyyYR6Q21VydFLVH3TRQUabQu_ym0Zz7PgGX0-kHA/edit?usp=sharing"",""แผน!I71"")"),0)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IFERROR(__xludf.DUMMYFUNCTION("IMPORTRANGE(""https://docs.google.com/spreadsheets/d/1QqKyyYR6Q21VydFLVH3TRQUabQu_ym0Zz7PgGX0-kHA/edit?usp=sharing"",""แผน!F71"")"),0)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IFERROR(__xludf.DUMMYFUNCTION("IMPORTRANGE(""https://docs.google.com/spreadsheets/d/1QqKyyYR6Q21VydFLVH3TRQUabQu_ym0Zz7PgGX0-kHA/edit?usp=sharing"",""แผน!G71"")"),0)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IFERROR(__xludf.DUMMYFUNCTION("IMPORTRANGE(""https://docs.google.com/spreadsheets/d/1QqKyyYR6Q21VydFLVH3TRQUabQu_ym0Zz7PgGX0-kHA/edit?usp=sharing"",""แผน!J71"")"),0)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174500</v>
      </c>
      <c r="M88" s="154">
        <f t="shared" ca="1" si="49"/>
        <v>174500</v>
      </c>
      <c r="N88" s="154">
        <f t="shared" ca="1" si="49"/>
        <v>171478.48</v>
      </c>
      <c r="O88" s="154">
        <f t="shared" ref="O88:O96" ca="1" si="50">IF(L88&gt;0,N88*100/L88,0)</f>
        <v>98.268469914040111</v>
      </c>
      <c r="P88" s="154">
        <f t="shared" ref="P88:P96" ca="1" si="51">IF(M88&gt;0,N88*100/M88,0)</f>
        <v>98.268469914040111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174500</v>
      </c>
      <c r="M90" s="45">
        <f t="shared" ca="1" si="52"/>
        <v>174500</v>
      </c>
      <c r="N90" s="45">
        <f t="shared" ca="1" si="52"/>
        <v>171478.48</v>
      </c>
      <c r="O90" s="45">
        <f t="shared" ca="1" si="50"/>
        <v>98.268469914040111</v>
      </c>
      <c r="P90" s="45">
        <f t="shared" ca="1" si="51"/>
        <v>98.268469914040111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174500</v>
      </c>
      <c r="M91" s="38">
        <f t="shared" ca="1" si="53"/>
        <v>174500</v>
      </c>
      <c r="N91" s="38">
        <f t="shared" ca="1" si="53"/>
        <v>171478.48</v>
      </c>
      <c r="O91" s="38">
        <f t="shared" ca="1" si="50"/>
        <v>98.268469914040111</v>
      </c>
      <c r="P91" s="38">
        <f t="shared" ca="1" si="51"/>
        <v>98.268469914040111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IFERROR(__xludf.DUMMYFUNCTION("IMPORTRANGE(""https://docs.google.com/spreadsheets/d/1MeEWN-I1oV_STSDYn1IFDPWt_1FKiwhDph83XaGc0o0/edit?usp=sharing"",""งบพรบ!AQ71"")"),174500)</f>
        <v>174500</v>
      </c>
      <c r="M93" s="45">
        <f ca="1">IFERROR(__xludf.DUMMYFUNCTION("IMPORTRANGE(""https://docs.google.com/spreadsheets/d/1MeEWN-I1oV_STSDYn1IFDPWt_1FKiwhDph83XaGc0o0/edit?usp=sharing"",""งบพรบ!AV71"")"),174500)</f>
        <v>174500</v>
      </c>
      <c r="N93" s="45">
        <f ca="1">IFERROR(__xludf.DUMMYFUNCTION("IMPORTRANGE(""https://docs.google.com/spreadsheets/d/1MeEWN-I1oV_STSDYn1IFDPWt_1FKiwhDph83XaGc0o0/edit?usp=sharing"",""งบพรบ!AX71"")"),171478.48)</f>
        <v>171478.48</v>
      </c>
      <c r="O93" s="45">
        <f t="shared" ca="1" si="50"/>
        <v>98.268469914040111</v>
      </c>
      <c r="P93" s="45">
        <f t="shared" ca="1" si="51"/>
        <v>98.268469914040111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IFERROR(__xludf.DUMMYFUNCTION("IMPORTRANGE(""https://docs.google.com/spreadsheets/d/1MeEWN-I1oV_STSDYn1IFDPWt_1FKiwhDph83XaGc0o0/edit?usp=sharing"",""งบพรบ!AT71"")"),0)</f>
        <v>0</v>
      </c>
      <c r="M96" s="45">
        <f ca="1">IFERROR(__xludf.DUMMYFUNCTION("IMPORTRANGE(""https://docs.google.com/spreadsheets/d/1MeEWN-I1oV_STSDYn1IFDPWt_1FKiwhDph83XaGc0o0/edit?usp=sharing"",""งบพรบ!AW71"")"),0)</f>
        <v>0</v>
      </c>
      <c r="N96" s="45">
        <f ca="1">IFERROR(__xludf.DUMMYFUNCTION("IMPORTRANGE(""https://docs.google.com/spreadsheets/d/1MeEWN-I1oV_STSDYn1IFDPWt_1FKiwhDph83XaGc0o0/edit?usp=sharing"",""งบพรบ!AY71"")"),0)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IFERROR(__xludf.DUMMYFUNCTION("IMPORTRANGE(""https://docs.google.com/spreadsheets/d/1QqKyyYR6Q21VydFLVH3TRQUabQu_ym0Zz7PgGX0-kHA/edit?usp=sharing"",""แผน!K71"")"),0)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IFERROR(__xludf.DUMMYFUNCTION("IMPORTRANGE(""https://docs.google.com/spreadsheets/d/1QqKyyYR6Q21VydFLVH3TRQUabQu_ym0Zz7PgGX0-kHA/edit?usp=sharing"",""แผน!L71"")"),0)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IFERROR(__xludf.DUMMYFUNCTION("IMPORTRANGE(""https://docs.google.com/spreadsheets/d/1QqKyyYR6Q21VydFLVH3TRQUabQu_ym0Zz7PgGX0-kHA/edit?usp=sharing"",""แผน!M71"")"),1)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IFERROR(__xludf.DUMMYFUNCTION("IMPORTRANGE(""https://docs.google.com/spreadsheets/d/1QqKyyYR6Q21VydFLVH3TRQUabQu_ym0Zz7PgGX0-kHA/edit?usp=sharing"",""แผน!N71"")"),0)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IFERROR(__xludf.DUMMYFUNCTION("IMPORTRANGE(""https://docs.google.com/spreadsheets/d/1QqKyyYR6Q21VydFLVH3TRQUabQu_ym0Zz7PgGX0-kHA/edit?usp=sharing"",""แผน!O71"")"),0)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IFERROR(__xludf.DUMMYFUNCTION("IMPORTRANGE(""https://docs.google.com/spreadsheets/d/1QqKyyYR6Q21VydFLVH3TRQUabQu_ym0Zz7PgGX0-kHA/edit?usp=sharing"",""แผน!O71"")"),0)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IFERROR(__xludf.DUMMYFUNCTION("IMPORTRANGE(""https://docs.google.com/spreadsheets/d/1QqKyyYR6Q21VydFLVH3TRQUabQu_ym0Zz7PgGX0-kHA/edit?usp=sharing"",""แผน!P71"")"),0)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IFERROR(__xludf.DUMMYFUNCTION("IMPORTRANGE(""https://docs.google.com/spreadsheets/d/1QqKyyYR6Q21VydFLVH3TRQUabQu_ym0Zz7PgGX0-kHA/edit?usp=sharing"",""แผน!P71"")"),0)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IFERROR(__xludf.DUMMYFUNCTION("IMPORTRANGE(""https://docs.google.com/spreadsheets/d/1QqKyyYR6Q21VydFLVH3TRQUabQu_ym0Zz7PgGX0-kHA/edit?usp=sharing"",""แผน!Q71"")"),1)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IFERROR(__xludf.DUMMYFUNCTION("IMPORTRANGE(""https://docs.google.com/spreadsheets/d/1QqKyyYR6Q21VydFLVH3TRQUabQu_ym0Zz7PgGX0-kHA/edit?usp=sharing"",""แผน!Q71"")"),1)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IFERROR(__xludf.DUMMYFUNCTION("IMPORTRANGE(""https://docs.google.com/spreadsheets/d/1QqKyyYR6Q21VydFLVH3TRQUabQu_ym0Zz7PgGX0-kHA/edit?usp=sharing"",""แผน!R71"")"),0)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IFERROR(__xludf.DUMMYFUNCTION("IMPORTRANGE(""https://docs.google.com/spreadsheets/d/1QqKyyYR6Q21VydFLVH3TRQUabQu_ym0Zz7PgGX0-kHA/edit?usp=sharing"",""แผน!R71"")"),0)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IFERROR(__xludf.DUMMYFUNCTION("IMPORTRANGE(""https://docs.google.com/spreadsheets/d/1QqKyyYR6Q21VydFLVH3TRQUabQu_ym0Zz7PgGX0-kHA/edit?usp=sharing"",""แผน!R71"")"),0)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IFERROR(__xludf.DUMMYFUNCTION("IMPORTRANGE(""https://docs.google.com/spreadsheets/d/1QqKyyYR6Q21VydFLVH3TRQUabQu_ym0Zz7PgGX0-kHA/edit?usp=sharing"",""แผน!S71"")"),0)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IFERROR(__xludf.DUMMYFUNCTION("IMPORTRANGE(""https://docs.google.com/spreadsheets/d/1QqKyyYR6Q21VydFLVH3TRQUabQu_ym0Zz7PgGX0-kHA/edit?usp=sharing"",""แผน!T71"")"),1)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IFERROR(__xludf.DUMMYFUNCTION("IMPORTRANGE(""https://docs.google.com/spreadsheets/d/1MeEWN-I1oV_STSDYn1IFDPWt_1FKiwhDph83XaGc0o0/edit?usp=sharing"",""งบพรบ!BA71"")"),0)</f>
        <v>0</v>
      </c>
      <c r="M124" s="45">
        <f ca="1">IFERROR(__xludf.DUMMYFUNCTION("IMPORTRANGE(""https://docs.google.com/spreadsheets/d/1MeEWN-I1oV_STSDYn1IFDPWt_1FKiwhDph83XaGc0o0/edit?usp=sharing"",""งบพรบ!BF71"")"),0)</f>
        <v>0</v>
      </c>
      <c r="N124" s="45">
        <f ca="1">IFERROR(__xludf.DUMMYFUNCTION("IMPORTRANGE(""https://docs.google.com/spreadsheets/d/1MeEWN-I1oV_STSDYn1IFDPWt_1FKiwhDph83XaGc0o0/edit?usp=sharing"",""งบพรบ!BH71"")"),0)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IFERROR(__xludf.DUMMYFUNCTION("IMPORTRANGE(""https://docs.google.com/spreadsheets/d/1MeEWN-I1oV_STSDYn1IFDPWt_1FKiwhDph83XaGc0o0/edit?usp=sharing"",""งบพรบ!BD71"")"),0)</f>
        <v>0</v>
      </c>
      <c r="M127" s="45">
        <f ca="1">IFERROR(__xludf.DUMMYFUNCTION("IMPORTRANGE(""https://docs.google.com/spreadsheets/d/1MeEWN-I1oV_STSDYn1IFDPWt_1FKiwhDph83XaGc0o0/edit?usp=sharing"",""งบพรบ!BG71"")"),0)</f>
        <v>0</v>
      </c>
      <c r="N127" s="45">
        <f ca="1">IFERROR(__xludf.DUMMYFUNCTION("IMPORTRANGE(""https://docs.google.com/spreadsheets/d/1MeEWN-I1oV_STSDYn1IFDPWt_1FKiwhDph83XaGc0o0/edit?usp=sharing"",""งบพรบ!BI71"")"),0)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IFERROR(__xludf.DUMMYFUNCTION("IMPORTRANGE(""https://docs.google.com/spreadsheets/d/1MeEWN-I1oV_STSDYn1IFDPWt_1FKiwhDph83XaGc0o0/edit?usp=sharing"",""งบพรบ!BK71"")"),0)</f>
        <v>0</v>
      </c>
      <c r="M137" s="45">
        <f ca="1">IFERROR(__xludf.DUMMYFUNCTION("IMPORTRANGE(""https://docs.google.com/spreadsheets/d/1MeEWN-I1oV_STSDYn1IFDPWt_1FKiwhDph83XaGc0o0/edit?usp=sharing"",""งบพรบ!BP71"")"),0)</f>
        <v>0</v>
      </c>
      <c r="N137" s="45">
        <f ca="1">IFERROR(__xludf.DUMMYFUNCTION("IMPORTRANGE(""https://docs.google.com/spreadsheets/d/1MeEWN-I1oV_STSDYn1IFDPWt_1FKiwhDph83XaGc0o0/edit?usp=sharing"",""งบพรบ!BR71"")"),0)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IFERROR(__xludf.DUMMYFUNCTION("IMPORTRANGE(""https://docs.google.com/spreadsheets/d/1MeEWN-I1oV_STSDYn1IFDPWt_1FKiwhDph83XaGc0o0/edit?usp=sharing"",""งบพรบ!BN71"")"),0)</f>
        <v>0</v>
      </c>
      <c r="M140" s="45">
        <f ca="1">IFERROR(__xludf.DUMMYFUNCTION("IMPORTRANGE(""https://docs.google.com/spreadsheets/d/1MeEWN-I1oV_STSDYn1IFDPWt_1FKiwhDph83XaGc0o0/edit?usp=sharing"",""งบพรบ!BQ71"")"),0)</f>
        <v>0</v>
      </c>
      <c r="N140" s="45">
        <f ca="1">IFERROR(__xludf.DUMMYFUNCTION("IMPORTRANGE(""https://docs.google.com/spreadsheets/d/1MeEWN-I1oV_STSDYn1IFDPWt_1FKiwhDph83XaGc0o0/edit?usp=sharing"",""งบพรบ!BS71"")"),0)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IFERROR(__xludf.DUMMYFUNCTION("IMPORTRANGE(""https://docs.google.com/spreadsheets/d/1QqKyyYR6Q21VydFLVH3TRQUabQu_ym0Zz7PgGX0-kHA/edit?usp=sharing"",""แผน!U71"")"),0)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IFERROR(__xludf.DUMMYFUNCTION("IMPORTRANGE(""https://docs.google.com/spreadsheets/d/1QqKyyYR6Q21VydFLVH3TRQUabQu_ym0Zz7PgGX0-kHA/edit?usp=sharing"",""แผน!V71"")"),0)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IFERROR(__xludf.DUMMYFUNCTION("IMPORTRANGE(""https://docs.google.com/spreadsheets/d/1QqKyyYR6Q21VydFLVH3TRQUabQu_ym0Zz7PgGX0-kHA/edit?usp=sharing"",""แผน!W71"")"),0)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IFERROR(__xludf.DUMMYFUNCTION("IMPORTRANGE(""https://docs.google.com/spreadsheets/d/1MeEWN-I1oV_STSDYn1IFDPWt_1FKiwhDph83XaGc0o0/edit?usp=sharing"",""งบพรบ!BU71"")"),0)</f>
        <v>0</v>
      </c>
      <c r="M154" s="45">
        <f ca="1">IFERROR(__xludf.DUMMYFUNCTION("IMPORTRANGE(""https://docs.google.com/spreadsheets/d/1MeEWN-I1oV_STSDYn1IFDPWt_1FKiwhDph83XaGc0o0/edit?usp=sharing"",""งบพรบ!BZ71"")"),0)</f>
        <v>0</v>
      </c>
      <c r="N154" s="45">
        <f ca="1">IFERROR(__xludf.DUMMYFUNCTION("IMPORTRANGE(""https://docs.google.com/spreadsheets/d/1MeEWN-I1oV_STSDYn1IFDPWt_1FKiwhDph83XaGc0o0/edit?usp=sharing"",""งบพรบ!CB71"")"),0)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IFERROR(__xludf.DUMMYFUNCTION("IMPORTRANGE(""https://docs.google.com/spreadsheets/d/1MeEWN-I1oV_STSDYn1IFDPWt_1FKiwhDph83XaGc0o0/edit?usp=sharing"",""งบพรบ!BX71"")"),0)</f>
        <v>0</v>
      </c>
      <c r="M157" s="45">
        <f ca="1">IFERROR(__xludf.DUMMYFUNCTION("IMPORTRANGE(""https://docs.google.com/spreadsheets/d/1MeEWN-I1oV_STSDYn1IFDPWt_1FKiwhDph83XaGc0o0/edit?usp=sharing"",""งบพรบ!CA71"")"),0)</f>
        <v>0</v>
      </c>
      <c r="N157" s="45">
        <f ca="1">IFERROR(__xludf.DUMMYFUNCTION("IMPORTRANGE(""https://docs.google.com/spreadsheets/d/1MeEWN-I1oV_STSDYn1IFDPWt_1FKiwhDph83XaGc0o0/edit?usp=sharing"",""งบพรบ!CC71"")"),0)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32325</v>
      </c>
      <c r="N165" s="154">
        <f t="shared" ca="1" si="84"/>
        <v>32325</v>
      </c>
      <c r="O165" s="154">
        <f t="shared" ref="O165:O173" ca="1" si="85">IF(L165&gt;0,N165*100/L165,0)</f>
        <v>146.56540467014281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32325</v>
      </c>
      <c r="N167" s="45">
        <f t="shared" ca="1" si="87"/>
        <v>32325</v>
      </c>
      <c r="O167" s="45">
        <f t="shared" ca="1" si="85"/>
        <v>146.56540467014281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32325</v>
      </c>
      <c r="N168" s="38">
        <f t="shared" ca="1" si="88"/>
        <v>32325</v>
      </c>
      <c r="O168" s="38">
        <f t="shared" ca="1" si="85"/>
        <v>146.56540467014281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IFERROR(__xludf.DUMMYFUNCTION("IMPORTRANGE(""https://docs.google.com/spreadsheets/d/1MeEWN-I1oV_STSDYn1IFDPWt_1FKiwhDph83XaGc0o0/edit?usp=sharing"",""งบพรบ!CE71"")"),22055)</f>
        <v>22055</v>
      </c>
      <c r="M170" s="45">
        <f ca="1">IFERROR(__xludf.DUMMYFUNCTION("IMPORTRANGE(""https://docs.google.com/spreadsheets/d/1MeEWN-I1oV_STSDYn1IFDPWt_1FKiwhDph83XaGc0o0/edit?usp=sharing"",""งบพรบ!CJ71"")"),32325)</f>
        <v>32325</v>
      </c>
      <c r="N170" s="45">
        <f ca="1">IFERROR(__xludf.DUMMYFUNCTION("IMPORTRANGE(""https://docs.google.com/spreadsheets/d/1MeEWN-I1oV_STSDYn1IFDPWt_1FKiwhDph83XaGc0o0/edit?usp=sharing"",""งบพรบ!CL71"")"),32325)</f>
        <v>32325</v>
      </c>
      <c r="O170" s="45">
        <f t="shared" ca="1" si="85"/>
        <v>146.56540467014281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IFERROR(__xludf.DUMMYFUNCTION("IMPORTRANGE(""https://docs.google.com/spreadsheets/d/1MeEWN-I1oV_STSDYn1IFDPWt_1FKiwhDph83XaGc0o0/edit?usp=sharing"",""งบพรบ!CH71"")"),0)</f>
        <v>0</v>
      </c>
      <c r="M173" s="45">
        <f ca="1">IFERROR(__xludf.DUMMYFUNCTION("IMPORTRANGE(""https://docs.google.com/spreadsheets/d/1MeEWN-I1oV_STSDYn1IFDPWt_1FKiwhDph83XaGc0o0/edit?usp=sharing"",""งบพรบ!CK71"")"),0)</f>
        <v>0</v>
      </c>
      <c r="N173" s="45">
        <f ca="1">IFERROR(__xludf.DUMMYFUNCTION("IMPORTRANGE(""https://docs.google.com/spreadsheets/d/1MeEWN-I1oV_STSDYn1IFDPWt_1FKiwhDph83XaGc0o0/edit?usp=sharing"",""งบพรบ!CM71"")"),0)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IFERROR(__xludf.DUMMYFUNCTION("IMPORTRANGE(""https://docs.google.com/spreadsheets/d/1QqKyyYR6Q21VydFLVH3TRQUabQu_ym0Zz7PgGX0-kHA/edit?usp=sharing"",""แผน!Y71"")"),11)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12500</v>
      </c>
      <c r="M181" s="154">
        <f t="shared" ca="1" si="92"/>
        <v>12500</v>
      </c>
      <c r="N181" s="154">
        <f t="shared" ca="1" si="92"/>
        <v>12000</v>
      </c>
      <c r="O181" s="154">
        <f t="shared" ref="O181:O189" ca="1" si="93">IF(L181&gt;0,N181*100/L181,0)</f>
        <v>96</v>
      </c>
      <c r="P181" s="154">
        <f t="shared" ref="P181:P189" ca="1" si="94">IF(M181&gt;0,N181*100/M181,0)</f>
        <v>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12500</v>
      </c>
      <c r="M183" s="45">
        <f t="shared" ca="1" si="95"/>
        <v>12500</v>
      </c>
      <c r="N183" s="45">
        <f t="shared" ca="1" si="95"/>
        <v>12000</v>
      </c>
      <c r="O183" s="45">
        <f t="shared" ca="1" si="93"/>
        <v>96</v>
      </c>
      <c r="P183" s="45">
        <f t="shared" ca="1" si="94"/>
        <v>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12500</v>
      </c>
      <c r="M184" s="38">
        <f t="shared" ca="1" si="96"/>
        <v>12500</v>
      </c>
      <c r="N184" s="38">
        <f t="shared" ca="1" si="96"/>
        <v>12000</v>
      </c>
      <c r="O184" s="38">
        <f t="shared" ca="1" si="93"/>
        <v>96</v>
      </c>
      <c r="P184" s="38">
        <f t="shared" ca="1" si="94"/>
        <v>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IFERROR(__xludf.DUMMYFUNCTION("IMPORTRANGE(""https://docs.google.com/spreadsheets/d/1MeEWN-I1oV_STSDYn1IFDPWt_1FKiwhDph83XaGc0o0/edit?usp=sharing"",""งบพรบ!CO71"")"),12500)</f>
        <v>12500</v>
      </c>
      <c r="M186" s="45">
        <f ca="1">IFERROR(__xludf.DUMMYFUNCTION("IMPORTRANGE(""https://docs.google.com/spreadsheets/d/1MeEWN-I1oV_STSDYn1IFDPWt_1FKiwhDph83XaGc0o0/edit?usp=sharing"",""งบพรบ!CT71"")"),12500)</f>
        <v>12500</v>
      </c>
      <c r="N186" s="45">
        <f ca="1">IFERROR(__xludf.DUMMYFUNCTION("IMPORTRANGE(""https://docs.google.com/spreadsheets/d/1MeEWN-I1oV_STSDYn1IFDPWt_1FKiwhDph83XaGc0o0/edit?usp=sharing"",""งบพรบ!CV71"")"),12000)</f>
        <v>12000</v>
      </c>
      <c r="O186" s="45">
        <f t="shared" ca="1" si="93"/>
        <v>96</v>
      </c>
      <c r="P186" s="45">
        <f t="shared" ca="1" si="94"/>
        <v>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IFERROR(__xludf.DUMMYFUNCTION("IMPORTRANGE(""https://docs.google.com/spreadsheets/d/1MeEWN-I1oV_STSDYn1IFDPWt_1FKiwhDph83XaGc0o0/edit?usp=sharing"",""งบพรบ!CR71"")"),0)</f>
        <v>0</v>
      </c>
      <c r="M189" s="45">
        <f ca="1">IFERROR(__xludf.DUMMYFUNCTION("IMPORTRANGE(""https://docs.google.com/spreadsheets/d/1MeEWN-I1oV_STSDYn1IFDPWt_1FKiwhDph83XaGc0o0/edit?usp=sharing"",""งบพรบ!CU71"")"),0)</f>
        <v>0</v>
      </c>
      <c r="N189" s="45">
        <f ca="1">IFERROR(__xludf.DUMMYFUNCTION("IMPORTRANGE(""https://docs.google.com/spreadsheets/d/1MeEWN-I1oV_STSDYn1IFDPWt_1FKiwhDph83XaGc0o0/edit?usp=sharing"",""งบพรบ!CW71"")"),0)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IFERROR(__xludf.DUMMYFUNCTION("IMPORTRANGE(""https://docs.google.com/spreadsheets/d/1QqKyyYR6Q21VydFLVH3TRQUabQu_ym0Zz7PgGX0-kHA/edit?usp=sharing"",""แผน!Z71"")"),6000)</f>
        <v>6000</v>
      </c>
      <c r="M191" s="154"/>
      <c r="N191" s="264">
        <v>4472</v>
      </c>
      <c r="O191" s="154">
        <f ca="1">IF(L191&gt;0,N191*100/L191,0)</f>
        <v>74.533333333333331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IFERROR(__xludf.DUMMYFUNCTION("IMPORTRANGE(""https://docs.google.com/spreadsheets/d/1QqKyyYR6Q21VydFLVH3TRQUabQu_ym0Zz7PgGX0-kHA/edit?usp=sharing"",""แผน!AC71"")"),4)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119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119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IFERROR(__xludf.DUMMYFUNCTION("IMPORTRANGE(""https://docs.google.com/spreadsheets/d/1QqKyyYR6Q21VydFLVH3TRQUabQu_ym0Zz7PgGX0-kHA/edit?usp=sharing"",""แผน!AE71"")"),0)</f>
        <v>0</v>
      </c>
      <c r="M199" s="38"/>
      <c r="N199" s="271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IFERROR(__xludf.DUMMYFUNCTION("IMPORTRANGE(""https://docs.google.com/spreadsheets/d/1QqKyyYR6Q21VydFLVH3TRQUabQu_ym0Zz7PgGX0-kHA/edit?usp=sharing"",""แผน!AF71"")"),0)</f>
        <v>0</v>
      </c>
      <c r="M200" s="38"/>
      <c r="N200" s="271">
        <v>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 hidden="1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IFERROR(__xludf.DUMMYFUNCTION("IMPORTRANGE(""https://docs.google.com/spreadsheets/d/1QqKyyYR6Q21VydFLVH3TRQUabQu_ym0Zz7PgGX0-kHA/edit?usp=sharing"",""แผน!AG71"")"),0)</f>
        <v>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 hidden="1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IFERROR(__xludf.DUMMYFUNCTION("IMPORTRANGE(""https://docs.google.com/spreadsheets/d/1QqKyyYR6Q21VydFLVH3TRQUabQu_ym0Zz7PgGX0-kHA/edit?usp=sharing"",""แผน!AH71"")"),0)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 hidden="1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IFERROR(__xludf.DUMMYFUNCTION("IMPORTRANGE(""https://docs.google.com/spreadsheets/d/1QqKyyYR6Q21VydFLVH3TRQUabQu_ym0Zz7PgGX0-kHA/edit?usp=sharing"",""แผน!AI71"")"),0)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76" t="s">
        <v>344</v>
      </c>
      <c r="F206" s="177"/>
      <c r="G206" s="178"/>
      <c r="H206" s="174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345</v>
      </c>
      <c r="F207" s="177"/>
      <c r="G207" s="178"/>
      <c r="H207" s="180" t="s">
        <v>66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IFERROR(__xludf.DUMMYFUNCTION("IMPORTRANGE(""https://docs.google.com/spreadsheets/d/1QqKyyYR6Q21VydFLVH3TRQUabQu_ym0Zz7PgGX0-kHA/edit?usp=sharing"",""แผน!AK71"")"),0)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IFERROR(__xludf.DUMMYFUNCTION("IMPORTRANGE(""https://docs.google.com/spreadsheets/d/1QqKyyYR6Q21VydFLVH3TRQUabQu_ym0Zz7PgGX0-kHA/edit?usp=sharing"",""แผน!AL71"")"),0)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IFERROR(__xludf.DUMMYFUNCTION("IMPORTRANGE(""https://docs.google.com/spreadsheets/d/1QqKyyYR6Q21VydFLVH3TRQUabQu_ym0Zz7PgGX0-kHA/edit?usp=sharing"",""แผน!AM71"")"),0)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IFERROR(__xludf.DUMMYFUNCTION("IMPORTRANGE(""https://docs.google.com/spreadsheets/d/1QqKyyYR6Q21VydFLVH3TRQUabQu_ym0Zz7PgGX0-kHA/edit?usp=sharing"",""แผน!AN71"")"),0)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IFERROR(__xludf.DUMMYFUNCTION("IMPORTRANGE(""https://docs.google.com/spreadsheets/d/1QqKyyYR6Q21VydFLVH3TRQUabQu_ym0Zz7PgGX0-kHA/edit?usp=sharing"",""แผน!AN71"")"),0)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2">I224</f>
        <v>10000</v>
      </c>
      <c r="J216" s="260">
        <f t="shared" si="102"/>
        <v>0</v>
      </c>
      <c r="K216" s="261">
        <f t="shared" ca="1" si="101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IFERROR(__xludf.DUMMYFUNCTION("IMPORTRANGE(""https://docs.google.com/spreadsheets/d/1QqKyyYR6Q21VydFLVH3TRQUabQu_ym0Zz7PgGX0-kHA/edit?usp=sharing"",""แผน!AP71"")"),3000)</f>
        <v>3000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IFERROR(__xludf.DUMMYFUNCTION("IMPORTRANGE(""https://docs.google.com/spreadsheets/d/1QqKyyYR6Q21VydFLVH3TRQUabQu_ym0Zz7PgGX0-kHA/edit?usp=sharing"",""แผน!AQ71"")"),3500)</f>
        <v>3500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IFERROR(__xludf.DUMMYFUNCTION("IMPORTRANGE(""https://docs.google.com/spreadsheets/d/1QqKyyYR6Q21VydFLVH3TRQUabQu_ym0Zz7PgGX0-kHA/edit?usp=sharing"",""แผน!AR71"")"),0)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IFERROR(__xludf.DUMMYFUNCTION("IMPORTRANGE(""https://docs.google.com/spreadsheets/d/1QqKyyYR6Q21VydFLVH3TRQUabQu_ym0Zz7PgGX0-kHA/edit?usp=sharing"",""แผน!AT71"")"),10000)</f>
        <v>10000</v>
      </c>
      <c r="J223" s="181">
        <v>10000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IFERROR(__xludf.DUMMYFUNCTION("IMPORTRANGE(""https://docs.google.com/spreadsheets/d/1QqKyyYR6Q21VydFLVH3TRQUabQu_ym0Zz7PgGX0-kHA/edit?usp=sharing"",""แผน!AT71"")"),10000)</f>
        <v>10000</v>
      </c>
      <c r="J224" s="181">
        <v>0</v>
      </c>
      <c r="K224" s="162">
        <f t="shared" ca="1" si="103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IFERROR(__xludf.DUMMYFUNCTION("IMPORTRANGE(""https://docs.google.com/spreadsheets/d/1QqKyyYR6Q21VydFLVH3TRQUabQu_ym0Zz7PgGX0-kHA/edit?usp=sharing"",""แผน!AS71"")"),0)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0</v>
      </c>
      <c r="J226" s="330">
        <f t="shared" si="104"/>
        <v>0</v>
      </c>
      <c r="K226" s="331">
        <f t="shared" ca="1" si="103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0</v>
      </c>
      <c r="M227" s="341"/>
      <c r="N227" s="341">
        <f t="shared" ref="N227:N231" si="106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0</v>
      </c>
      <c r="M228" s="45"/>
      <c r="N228" s="45">
        <f t="shared" si="106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0</v>
      </c>
      <c r="M229" s="45"/>
      <c r="N229" s="45">
        <f t="shared" si="106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0</v>
      </c>
      <c r="M230" s="45"/>
      <c r="N230" s="45">
        <f t="shared" si="106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0</v>
      </c>
      <c r="M231" s="45"/>
      <c r="N231" s="45">
        <f t="shared" si="106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0</v>
      </c>
      <c r="J233" s="44">
        <f t="shared" si="107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0</v>
      </c>
      <c r="J235" s="44">
        <f t="shared" si="108"/>
        <v>0</v>
      </c>
      <c r="K235" s="45">
        <f t="shared" ref="K235:K237" si="109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0</v>
      </c>
      <c r="J236" s="44">
        <f t="shared" si="108"/>
        <v>0</v>
      </c>
      <c r="K236" s="45">
        <f t="shared" si="109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0</v>
      </c>
      <c r="J237" s="260">
        <f t="shared" si="110"/>
        <v>0</v>
      </c>
      <c r="K237" s="261">
        <f t="shared" ca="1" si="109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IFERROR(__xludf.DUMMYFUNCTION("IMPORTRANGE(""https://docs.google.com/spreadsheets/d/1QqKyyYR6Q21VydFLVH3TRQUabQu_ym0Zz7PgGX0-kHA/edit?usp=sharing"",""แผน!AV71"")"),0)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IFERROR(__xludf.DUMMYFUNCTION("IMPORTRANGE(""https://docs.google.com/spreadsheets/d/1QqKyyYR6Q21VydFLVH3TRQUabQu_ym0Zz7PgGX0-kHA/edit?usp=sharing"",""แผน!AW71"")"),0)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IFERROR(__xludf.DUMMYFUNCTION("IMPORTRANGE(""https://docs.google.com/spreadsheets/d/1QqKyyYR6Q21VydFLVH3TRQUabQu_ym0Zz7PgGX0-kHA/edit?usp=sharing"",""แผน!AX71"")"),0)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IFERROR(__xludf.DUMMYFUNCTION("IMPORTRANGE(""https://docs.google.com/spreadsheets/d/1QqKyyYR6Q21VydFLVH3TRQUabQu_ym0Zz7PgGX0-kHA/edit?usp=sharing"",""แผน!AY71"")"),0)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IFERROR(__xludf.DUMMYFUNCTION("IMPORTRANGE(""https://docs.google.com/spreadsheets/d/1QqKyyYR6Q21VydFLVH3TRQUabQu_ym0Zz7PgGX0-kHA/edit?usp=sharing"",""แผน!BE71"")"),0)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1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1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IFERROR(__xludf.DUMMYFUNCTION("IMPORTRANGE(""https://docs.google.com/spreadsheets/d/1QqKyyYR6Q21VydFLVH3TRQUabQu_ym0Zz7PgGX0-kHA/edit?usp=sharing"",""แผน!AZ71"")"),0)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IFERROR(__xludf.DUMMYFUNCTION("IMPORTRANGE(""https://docs.google.com/spreadsheets/d/1QqKyyYR6Q21VydFLVH3TRQUabQu_ym0Zz7PgGX0-kHA/edit?usp=sharing"",""แผน!BA71"")"),0)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IFERROR(__xludf.DUMMYFUNCTION("IMPORTRANGE(""https://docs.google.com/spreadsheets/d/1QqKyyYR6Q21VydFLVH3TRQUabQu_ym0Zz7PgGX0-kHA/edit?usp=sharing"",""แผน!BB71"")"),0)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IFERROR(__xludf.DUMMYFUNCTION("IMPORTRANGE(""https://docs.google.com/spreadsheets/d/1QqKyyYR6Q21VydFLVH3TRQUabQu_ym0Zz7PgGX0-kHA/edit?usp=sharing"",""แผน!BC71"")"),0)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IFERROR(__xludf.DUMMYFUNCTION("IMPORTRANGE(""https://docs.google.com/spreadsheets/d/1QqKyyYR6Q21VydFLVH3TRQUabQu_ym0Zz7PgGX0-kHA/edit?usp=sharing"",""แผน!BF71"")"),0)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10</v>
      </c>
      <c r="J260" s="242">
        <f t="shared" si="114"/>
        <v>10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158500</v>
      </c>
      <c r="M261" s="154">
        <f t="shared" ca="1" si="115"/>
        <v>158500</v>
      </c>
      <c r="N261" s="154">
        <f t="shared" ca="1" si="115"/>
        <v>139011.68</v>
      </c>
      <c r="O261" s="154">
        <f t="shared" ref="O261:O269" ca="1" si="116">IF(L261&gt;0,N261*100/L261,0)</f>
        <v>87.704529968454253</v>
      </c>
      <c r="P261" s="154">
        <f t="shared" ref="P261:P269" ca="1" si="117">IF(M261&gt;0,N261*100/M261,0)</f>
        <v>87.704529968454253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158500</v>
      </c>
      <c r="M263" s="45">
        <f t="shared" ca="1" si="118"/>
        <v>158500</v>
      </c>
      <c r="N263" s="45">
        <f t="shared" ca="1" si="118"/>
        <v>139011.68</v>
      </c>
      <c r="O263" s="45">
        <f t="shared" ca="1" si="116"/>
        <v>87.704529968454253</v>
      </c>
      <c r="P263" s="45">
        <f t="shared" ca="1" si="117"/>
        <v>87.704529968454253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158500</v>
      </c>
      <c r="M264" s="38">
        <f t="shared" ca="1" si="119"/>
        <v>158500</v>
      </c>
      <c r="N264" s="38">
        <f t="shared" ca="1" si="119"/>
        <v>139011.68</v>
      </c>
      <c r="O264" s="38">
        <f t="shared" ca="1" si="116"/>
        <v>87.704529968454253</v>
      </c>
      <c r="P264" s="38">
        <f t="shared" ca="1" si="117"/>
        <v>87.704529968454253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IFERROR(__xludf.DUMMYFUNCTION("IMPORTRANGE(""https://docs.google.com/spreadsheets/d/1MeEWN-I1oV_STSDYn1IFDPWt_1FKiwhDph83XaGc0o0/edit?usp=sharing"",""งบพรบ!CY71"")"),158500)</f>
        <v>158500</v>
      </c>
      <c r="M266" s="45">
        <f ca="1">IFERROR(__xludf.DUMMYFUNCTION("IMPORTRANGE(""https://docs.google.com/spreadsheets/d/1MeEWN-I1oV_STSDYn1IFDPWt_1FKiwhDph83XaGc0o0/edit?usp=sharing"",""งบพรบ!DD71"")"),158500)</f>
        <v>158500</v>
      </c>
      <c r="N266" s="45">
        <f ca="1">IFERROR(__xludf.DUMMYFUNCTION("IMPORTRANGE(""https://docs.google.com/spreadsheets/d/1MeEWN-I1oV_STSDYn1IFDPWt_1FKiwhDph83XaGc0o0/edit?usp=sharing"",""งบพรบ!DF71"")"),139011.68)</f>
        <v>139011.68</v>
      </c>
      <c r="O266" s="45">
        <f t="shared" ca="1" si="116"/>
        <v>87.704529968454253</v>
      </c>
      <c r="P266" s="45">
        <f t="shared" ca="1" si="117"/>
        <v>87.704529968454253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IFERROR(__xludf.DUMMYFUNCTION("IMPORTRANGE(""https://docs.google.com/spreadsheets/d/1MeEWN-I1oV_STSDYn1IFDPWt_1FKiwhDph83XaGc0o0/edit?usp=sharing"",""งบพรบ!DB71"")"),0)</f>
        <v>0</v>
      </c>
      <c r="M269" s="45">
        <f ca="1">IFERROR(__xludf.DUMMYFUNCTION("IMPORTRANGE(""https://docs.google.com/spreadsheets/d/1MeEWN-I1oV_STSDYn1IFDPWt_1FKiwhDph83XaGc0o0/edit?usp=sharing"",""งบพรบ!DE71"")"),0)</f>
        <v>0</v>
      </c>
      <c r="N269" s="45">
        <f ca="1">IFERROR(__xludf.DUMMYFUNCTION("IMPORTRANGE(""https://docs.google.com/spreadsheets/d/1MeEWN-I1oV_STSDYn1IFDPWt_1FKiwhDph83XaGc0o0/edit?usp=sharing"",""งบพรบ!DG71"")"),0)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IFERROR(__xludf.DUMMYFUNCTION("IMPORTRANGE(""https://docs.google.com/spreadsheets/d/1QqKyyYR6Q21VydFLVH3TRQUabQu_ym0Zz7PgGX0-kHA/edit?usp=sharing"",""แผน!EA71"")"),10)</f>
        <v>10</v>
      </c>
      <c r="J271" s="181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3">I287</f>
        <v>0</v>
      </c>
      <c r="J276" s="81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IFERROR(__xludf.DUMMYFUNCTION("IMPORTRANGE(""https://docs.google.com/spreadsheets/d/1MeEWN-I1oV_STSDYn1IFDPWt_1FKiwhDph83XaGc0o0/edit?usp=sharing"",""งบพรบ!DI71"")"),0)</f>
        <v>0</v>
      </c>
      <c r="M282" s="45">
        <f ca="1">IFERROR(__xludf.DUMMYFUNCTION("IMPORTRANGE(""https://docs.google.com/spreadsheets/d/1MeEWN-I1oV_STSDYn1IFDPWt_1FKiwhDph83XaGc0o0/edit?usp=sharing"",""งบพรบ!DN71"")"),0)</f>
        <v>0</v>
      </c>
      <c r="N282" s="45">
        <f ca="1">IFERROR(__xludf.DUMMYFUNCTION("IMPORTRANGE(""https://docs.google.com/spreadsheets/d/1MeEWN-I1oV_STSDYn1IFDPWt_1FKiwhDph83XaGc0o0/edit?usp=sharing"",""งบพรบ!DP71"")"),0)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IFERROR(__xludf.DUMMYFUNCTION("IMPORTRANGE(""https://docs.google.com/spreadsheets/d/1MeEWN-I1oV_STSDYn1IFDPWt_1FKiwhDph83XaGc0o0/edit?usp=sharing"",""งบพรบ!DL71"")"),0)</f>
        <v>0</v>
      </c>
      <c r="M285" s="45">
        <f ca="1">IFERROR(__xludf.DUMMYFUNCTION("IMPORTRANGE(""https://docs.google.com/spreadsheets/d/1MeEWN-I1oV_STSDYn1IFDPWt_1FKiwhDph83XaGc0o0/edit?usp=sharing"",""งบพรบ!DO71"")"),0)</f>
        <v>0</v>
      </c>
      <c r="N285" s="45">
        <f ca="1">IFERROR(__xludf.DUMMYFUNCTION("IMPORTRANGE(""https://docs.google.com/spreadsheets/d/1MeEWN-I1oV_STSDYn1IFDPWt_1FKiwhDph83XaGc0o0/edit?usp=sharing"",""งบพรบ!DQ71"")"),0)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IFERROR(__xludf.DUMMYFUNCTION("IMPORTRANGE(""https://docs.google.com/spreadsheets/d/1QqKyyYR6Q21VydFLVH3TRQUabQu_ym0Zz7PgGX0-kHA/edit?usp=sharing"",""แผน!EC71"")"),0)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IFERROR(__xludf.DUMMYFUNCTION("IMPORTRANGE(""https://docs.google.com/spreadsheets/d/1QqKyyYR6Q21VydFLVH3TRQUabQu_ym0Zz7PgGX0-kHA/edit?usp=sharing"",""แผน!EB71"")"),0)</f>
        <v>0</v>
      </c>
      <c r="J288" s="190">
        <f ca="1">IF(AND(J291&gt;=I288,J294&gt;=I288),J294,0)</f>
        <v>0</v>
      </c>
      <c r="K288" s="390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IFERROR(__xludf.DUMMYFUNCTION("IMPORTRANGE(""https://docs.google.com/spreadsheets/d/1QqKyyYR6Q21VydFLVH3TRQUabQu_ym0Zz7PgGX0-kHA/edit?usp=sharing"",""แผน!EB71"")"),0)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IFERROR(__xludf.DUMMYFUNCTION("IMPORTRANGE(""https://docs.google.com/spreadsheets/d/1QqKyyYR6Q21VydFLVH3TRQUabQu_ym0Zz7PgGX0-kHA/edit?usp=sharing"",""แผน!EB71"")"),0)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IFERROR(__xludf.DUMMYFUNCTION("IMPORTRANGE(""https://docs.google.com/spreadsheets/d/1QqKyyYR6Q21VydFLVH3TRQUabQu_ym0Zz7PgGX0-kHA/edit?usp=sharing"",""แผน!EB71"")"),0)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IFERROR(__xludf.DUMMYFUNCTION("IMPORTRANGE(""https://docs.google.com/spreadsheets/d/1QqKyyYR6Q21VydFLVH3TRQUabQu_ym0Zz7PgGX0-kHA/edit?usp=sharing"",""แผน!EB71"")"),0)</f>
        <v>0</v>
      </c>
      <c r="J294" s="401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 hidden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0</v>
      </c>
      <c r="J297" s="421">
        <f t="shared" si="133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0</v>
      </c>
      <c r="M298" s="154">
        <f t="shared" ca="1" si="134"/>
        <v>0</v>
      </c>
      <c r="N298" s="154">
        <f t="shared" ca="1" si="134"/>
        <v>0</v>
      </c>
      <c r="O298" s="154">
        <f t="shared" ref="O298:O306" ca="1" si="135">IF(L298&gt;0,N298*100/L298,0)</f>
        <v>0</v>
      </c>
      <c r="P298" s="154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0</v>
      </c>
      <c r="M300" s="45">
        <f t="shared" ca="1" si="137"/>
        <v>0</v>
      </c>
      <c r="N300" s="45">
        <f t="shared" ca="1" si="137"/>
        <v>0</v>
      </c>
      <c r="O300" s="45">
        <f t="shared" ca="1" si="135"/>
        <v>0</v>
      </c>
      <c r="P300" s="45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0</v>
      </c>
      <c r="M301" s="38">
        <f t="shared" ca="1" si="138"/>
        <v>0</v>
      </c>
      <c r="N301" s="38">
        <f t="shared" ca="1" si="138"/>
        <v>0</v>
      </c>
      <c r="O301" s="38">
        <f t="shared" ca="1" si="135"/>
        <v>0</v>
      </c>
      <c r="P301" s="3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IFERROR(__xludf.DUMMYFUNCTION("IMPORTRANGE(""https://docs.google.com/spreadsheets/d/1MeEWN-I1oV_STSDYn1IFDPWt_1FKiwhDph83XaGc0o0/edit?usp=sharing"",""งบพรบ!DS71"")"),0)</f>
        <v>0</v>
      </c>
      <c r="M303" s="45">
        <f ca="1">IFERROR(__xludf.DUMMYFUNCTION("IMPORTRANGE(""https://docs.google.com/spreadsheets/d/1MeEWN-I1oV_STSDYn1IFDPWt_1FKiwhDph83XaGc0o0/edit?usp=sharing"",""งบพรบ!DX71"")"),0)</f>
        <v>0</v>
      </c>
      <c r="N303" s="45">
        <f ca="1">IFERROR(__xludf.DUMMYFUNCTION("IMPORTRANGE(""https://docs.google.com/spreadsheets/d/1MeEWN-I1oV_STSDYn1IFDPWt_1FKiwhDph83XaGc0o0/edit?usp=sharing"",""งบพรบ!DZ71"")"),0)</f>
        <v>0</v>
      </c>
      <c r="O303" s="45">
        <f t="shared" ca="1" si="135"/>
        <v>0</v>
      </c>
      <c r="P303" s="45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IFERROR(__xludf.DUMMYFUNCTION("IMPORTRANGE(""https://docs.google.com/spreadsheets/d/1MeEWN-I1oV_STSDYn1IFDPWt_1FKiwhDph83XaGc0o0/edit?usp=sharing"",""งบพรบ!DV71"")"),0)</f>
        <v>0</v>
      </c>
      <c r="M306" s="45">
        <f ca="1">IFERROR(__xludf.DUMMYFUNCTION("IMPORTRANGE(""https://docs.google.com/spreadsheets/d/1MeEWN-I1oV_STSDYn1IFDPWt_1FKiwhDph83XaGc0o0/edit?usp=sharing"",""งบพรบ!DY71"")"),0)</f>
        <v>0</v>
      </c>
      <c r="N306" s="45">
        <f ca="1">IFERROR(__xludf.DUMMYFUNCTION("IMPORTRANGE(""https://docs.google.com/spreadsheets/d/1MeEWN-I1oV_STSDYn1IFDPWt_1FKiwhDph83XaGc0o0/edit?usp=sharing"",""งบพรบ!EA71"")"),0)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IFERROR(__xludf.DUMMYFUNCTION("IMPORTRANGE(""https://docs.google.com/spreadsheets/d/1QqKyyYR6Q21VydFLVH3TRQUabQu_ym0Zz7PgGX0-kHA/edit?usp=sharing"",""แผน!ED71"")"),0)</f>
        <v>0</v>
      </c>
      <c r="J309" s="181">
        <v>0</v>
      </c>
      <c r="K309" s="38">
        <f t="shared" ref="K309:K312" ca="1" si="140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IFERROR(__xludf.DUMMYFUNCTION("IMPORTRANGE(""https://docs.google.com/spreadsheets/d/1QqKyyYR6Q21VydFLVH3TRQUabQu_ym0Zz7PgGX0-kHA/edit?usp=sharing"",""แผน!ED71"")"),0)</f>
        <v>0</v>
      </c>
      <c r="J310" s="181">
        <v>0</v>
      </c>
      <c r="K310" s="38">
        <f t="shared" ca="1" si="140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IFERROR(__xludf.DUMMYFUNCTION("IMPORTRANGE(""https://docs.google.com/spreadsheets/d/1QqKyyYR6Q21VydFLVH3TRQUabQu_ym0Zz7PgGX0-kHA/edit?usp=sharing"",""แผน!ED71"")"),0)</f>
        <v>0</v>
      </c>
      <c r="J311" s="181">
        <v>0</v>
      </c>
      <c r="K311" s="38">
        <f t="shared" ca="1" si="140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IFERROR(__xludf.DUMMYFUNCTION("IMPORTRANGE(""https://docs.google.com/spreadsheets/d/1QqKyyYR6Q21VydFLVH3TRQUabQu_ym0Zz7PgGX0-kHA/edit?usp=sharing"",""แผน!EE71"")"),0)</f>
        <v>0</v>
      </c>
      <c r="J312" s="181">
        <v>0</v>
      </c>
      <c r="K312" s="38">
        <f t="shared" ca="1" si="140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IFERROR(__xludf.DUMMYFUNCTION("IMPORTRANGE(""https://docs.google.com/spreadsheets/d/1MeEWN-I1oV_STSDYn1IFDPWt_1FKiwhDph83XaGc0o0/edit?usp=sharing"",""งบพรบ!EC71"")"),0)</f>
        <v>0</v>
      </c>
      <c r="M320" s="45">
        <f ca="1">IFERROR(__xludf.DUMMYFUNCTION("IMPORTRANGE(""https://docs.google.com/spreadsheets/d/1MeEWN-I1oV_STSDYn1IFDPWt_1FKiwhDph83XaGc0o0/edit?usp=sharing"",""งบพรบ!EH71"")"),0)</f>
        <v>0</v>
      </c>
      <c r="N320" s="45">
        <f ca="1">IFERROR(__xludf.DUMMYFUNCTION("IMPORTRANGE(""https://docs.google.com/spreadsheets/d/1MeEWN-I1oV_STSDYn1IFDPWt_1FKiwhDph83XaGc0o0/edit?usp=sharing"",""งบพรบ!EJ71"")"),0)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IFERROR(__xludf.DUMMYFUNCTION("IMPORTRANGE(""https://docs.google.com/spreadsheets/d/1MeEWN-I1oV_STSDYn1IFDPWt_1FKiwhDph83XaGc0o0/edit?usp=sharing"",""งบพรบ!EF71"")"),0)</f>
        <v>0</v>
      </c>
      <c r="M323" s="45">
        <f ca="1">IFERROR(__xludf.DUMMYFUNCTION("IMPORTRANGE(""https://docs.google.com/spreadsheets/d/1MeEWN-I1oV_STSDYn1IFDPWt_1FKiwhDph83XaGc0o0/edit?usp=sharing"",""งบพรบ!EI71"")"),0)</f>
        <v>0</v>
      </c>
      <c r="N323" s="45">
        <f ca="1">IFERROR(__xludf.DUMMYFUNCTION("IMPORTRANGE(""https://docs.google.com/spreadsheets/d/1MeEWN-I1oV_STSDYn1IFDPWt_1FKiwhDph83XaGc0o0/edit?usp=sharing"",""งบพรบ!EK71"")"),0)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IFERROR(__xludf.DUMMYFUNCTION("IMPORTRANGE(""https://docs.google.com/spreadsheets/d/1QqKyyYR6Q21VydFLVH3TRQUabQu_ym0Zz7PgGX0-kHA/edit?usp=sharing"",""แผน!EG71"")"),50)</f>
        <v>50</v>
      </c>
      <c r="J327" s="421">
        <f ca="1">J338+J341+J342+J343</f>
        <v>42</v>
      </c>
      <c r="K327" s="422">
        <f ca="1">IF(I327&gt;0,J327*100/I327,0)</f>
        <v>84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353600</v>
      </c>
      <c r="M328" s="154">
        <f t="shared" ca="1" si="148"/>
        <v>356100</v>
      </c>
      <c r="N328" s="154">
        <f t="shared" ca="1" si="148"/>
        <v>289350.09999999998</v>
      </c>
      <c r="O328" s="154">
        <f t="shared" ref="O328:O336" ca="1" si="149">IF(L328&gt;0,N328*100/L328,0)</f>
        <v>81.82977941176469</v>
      </c>
      <c r="P328" s="154">
        <f t="shared" ref="P328:P336" ca="1" si="150">IF(M328&gt;0,N328*100/M328,0)</f>
        <v>81.255293456894123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353600</v>
      </c>
      <c r="M330" s="45">
        <f t="shared" ca="1" si="151"/>
        <v>356100</v>
      </c>
      <c r="N330" s="45">
        <f t="shared" ca="1" si="151"/>
        <v>289350.09999999998</v>
      </c>
      <c r="O330" s="45">
        <f t="shared" ca="1" si="149"/>
        <v>81.82977941176469</v>
      </c>
      <c r="P330" s="45">
        <f t="shared" ca="1" si="150"/>
        <v>81.255293456894123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353600</v>
      </c>
      <c r="M331" s="38">
        <f t="shared" ca="1" si="152"/>
        <v>356100</v>
      </c>
      <c r="N331" s="38">
        <f t="shared" ca="1" si="152"/>
        <v>289350.09999999998</v>
      </c>
      <c r="O331" s="38">
        <f t="shared" ca="1" si="149"/>
        <v>81.82977941176469</v>
      </c>
      <c r="P331" s="38">
        <f t="shared" ca="1" si="150"/>
        <v>81.255293456894123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IFERROR(__xludf.DUMMYFUNCTION("IMPORTRANGE(""https://docs.google.com/spreadsheets/d/1MeEWN-I1oV_STSDYn1IFDPWt_1FKiwhDph83XaGc0o0/edit?usp=sharing"",""งบพรบ!EM71"")"),353600)</f>
        <v>353600</v>
      </c>
      <c r="M333" s="45">
        <f ca="1">IFERROR(__xludf.DUMMYFUNCTION("IMPORTRANGE(""https://docs.google.com/spreadsheets/d/1MeEWN-I1oV_STSDYn1IFDPWt_1FKiwhDph83XaGc0o0/edit?usp=sharing"",""งบพรบ!ER71"")"),356100)</f>
        <v>356100</v>
      </c>
      <c r="N333" s="45">
        <f ca="1">IFERROR(__xludf.DUMMYFUNCTION("IMPORTRANGE(""https://docs.google.com/spreadsheets/d/1MeEWN-I1oV_STSDYn1IFDPWt_1FKiwhDph83XaGc0o0/edit?usp=sharing"",""งบพรบ!ET71"")"),289350.1)</f>
        <v>289350.09999999998</v>
      </c>
      <c r="O333" s="45">
        <f t="shared" ca="1" si="149"/>
        <v>81.82977941176469</v>
      </c>
      <c r="P333" s="45">
        <f t="shared" ca="1" si="150"/>
        <v>81.255293456894123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IFERROR(__xludf.DUMMYFUNCTION("IMPORTRANGE(""https://docs.google.com/spreadsheets/d/1MeEWN-I1oV_STSDYn1IFDPWt_1FKiwhDph83XaGc0o0/edit?usp=sharing"",""งบพรบ!EP71"")"),0)</f>
        <v>0</v>
      </c>
      <c r="M336" s="45">
        <f ca="1">IFERROR(__xludf.DUMMYFUNCTION("IMPORTRANGE(""https://docs.google.com/spreadsheets/d/1MeEWN-I1oV_STSDYn1IFDPWt_1FKiwhDph83XaGc0o0/edit?usp=sharing"",""งบพรบ!ES71"")"),0)</f>
        <v>0</v>
      </c>
      <c r="N336" s="45">
        <f ca="1">IFERROR(__xludf.DUMMYFUNCTION("IMPORTRANGE(""https://docs.google.com/spreadsheets/d/1MeEWN-I1oV_STSDYn1IFDPWt_1FKiwhDph83XaGc0o0/edit?usp=sharing"",""งบพรบ!EU71"")"),0)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IFERROR(__xludf.DUMMYFUNCTION("IMPORTRANGE(""https://docs.google.com/spreadsheets/d/1QqKyyYR6Q21VydFLVH3TRQUabQu_ym0Zz7PgGX0-kHA/edit?usp=sharing"",""แผน!EG71"")"),50)</f>
        <v>50</v>
      </c>
      <c r="J338" s="37">
        <f ca="1">IFERROR(__xludf.DUMMYFUNCTION("IMPORTRANGE(""https://docs.google.com/spreadsheets/d/1kVcqe37tkHyjCSG3S0O1AXqVkqjo8mSIZil3BcpIysc/edit?usp=sharing"",""ศูนย์!D71"")"),25)</f>
        <v>25</v>
      </c>
      <c r="K338" s="38">
        <f ca="1">IF(I338&gt;0,J338*100/I338,0)</f>
        <v>50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IFERROR(__xludf.DUMMYFUNCTION("IMPORTRANGE(""https://docs.google.com/spreadsheets/d/1QqKyyYR6Q21VydFLVH3TRQUabQu_ym0Zz7PgGX0-kHA/edit?usp=sharing"",""แผน!EH71"")"),2)</f>
        <v>2</v>
      </c>
      <c r="J340" s="37">
        <f ca="1">IFERROR(__xludf.DUMMYFUNCTION("IMPORTRANGE(""https://docs.google.com/spreadsheets/d/1kVcqe37tkHyjCSG3S0O1AXqVkqjo8mSIZil3BcpIysc/edit?usp=sharing"",""ศูนย์!E71"")"),1)</f>
        <v>1</v>
      </c>
      <c r="K340" s="38">
        <f ca="1">IF(I340&gt;0,J340*100/I340,0)</f>
        <v>50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IFERROR(__xludf.DUMMYFUNCTION("IMPORTRANGE(""https://docs.google.com/spreadsheets/d/1kVcqe37tkHyjCSG3S0O1AXqVkqjo8mSIZil3BcpIysc/edit?usp=sharing"",""ศูนย์!F71"")"),17)</f>
        <v>17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IFERROR(__xludf.DUMMYFUNCTION("IMPORTRANGE(""https://docs.google.com/spreadsheets/d/1kVcqe37tkHyjCSG3S0O1AXqVkqjo8mSIZil3BcpIysc/edit?usp=sharing"",""ศูนย์!G71"")"),0)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IFERROR(__xludf.DUMMYFUNCTION("IMPORTRANGE(""https://docs.google.com/spreadsheets/d/1kVcqe37tkHyjCSG3S0O1AXqVkqjo8mSIZil3BcpIysc/edit?usp=sharing"",""ศูนย์!H71"")"),0)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96770</v>
      </c>
      <c r="M345" s="154">
        <f t="shared" ca="1" si="154"/>
        <v>116010</v>
      </c>
      <c r="N345" s="154">
        <f t="shared" ca="1" si="154"/>
        <v>76740</v>
      </c>
      <c r="O345" s="154">
        <f t="shared" ref="O345:O353" ca="1" si="155">IF(L345&gt;0,N345*100/L345,0)</f>
        <v>79.301436395577142</v>
      </c>
      <c r="P345" s="154">
        <f t="shared" ref="P345:P353" ca="1" si="156">IF(M345&gt;0,N345*100/M345,0)</f>
        <v>66.14946987328679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96770</v>
      </c>
      <c r="M347" s="45">
        <f t="shared" ca="1" si="157"/>
        <v>116010</v>
      </c>
      <c r="N347" s="45">
        <f t="shared" ca="1" si="157"/>
        <v>76740</v>
      </c>
      <c r="O347" s="45">
        <f t="shared" ca="1" si="155"/>
        <v>79.301436395577142</v>
      </c>
      <c r="P347" s="45">
        <f t="shared" ca="1" si="156"/>
        <v>66.14946987328679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43970</v>
      </c>
      <c r="M348" s="38">
        <f t="shared" ca="1" si="158"/>
        <v>63970</v>
      </c>
      <c r="N348" s="38">
        <f t="shared" ca="1" si="158"/>
        <v>24700</v>
      </c>
      <c r="O348" s="38">
        <f t="shared" ca="1" si="155"/>
        <v>56.174664544007278</v>
      </c>
      <c r="P348" s="38">
        <f t="shared" ca="1" si="156"/>
        <v>38.611849304361421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IFERROR(__xludf.DUMMYFUNCTION("IMPORTRANGE(""https://docs.google.com/spreadsheets/d/1MeEWN-I1oV_STSDYn1IFDPWt_1FKiwhDph83XaGc0o0/edit?usp=sharing"",""งบพรบ!EW71"")"),43970)</f>
        <v>43970</v>
      </c>
      <c r="M350" s="45">
        <f ca="1">IFERROR(__xludf.DUMMYFUNCTION("IMPORTRANGE(""https://docs.google.com/spreadsheets/d/1MeEWN-I1oV_STSDYn1IFDPWt_1FKiwhDph83XaGc0o0/edit?usp=sharing"",""งบพรบ!FB71"")"),63970)</f>
        <v>63970</v>
      </c>
      <c r="N350" s="45">
        <f ca="1">IFERROR(__xludf.DUMMYFUNCTION("IMPORTRANGE(""https://docs.google.com/spreadsheets/d/1MeEWN-I1oV_STSDYn1IFDPWt_1FKiwhDph83XaGc0o0/edit?usp=sharing"",""งบพรบ!FD71"")"),24700)</f>
        <v>24700</v>
      </c>
      <c r="O350" s="45">
        <f t="shared" ca="1" si="155"/>
        <v>56.174664544007278</v>
      </c>
      <c r="P350" s="45">
        <f t="shared" ca="1" si="156"/>
        <v>38.611849304361421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52800</v>
      </c>
      <c r="M351" s="38">
        <f t="shared" ca="1" si="159"/>
        <v>52040</v>
      </c>
      <c r="N351" s="38">
        <f t="shared" ca="1" si="159"/>
        <v>52040</v>
      </c>
      <c r="O351" s="38">
        <f t="shared" ca="1" si="155"/>
        <v>98.560606060606062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IFERROR(__xludf.DUMMYFUNCTION("IMPORTRANGE(""https://docs.google.com/spreadsheets/d/1MeEWN-I1oV_STSDYn1IFDPWt_1FKiwhDph83XaGc0o0/edit?usp=sharing"",""งบพรบ!EZ71"")"),52800)</f>
        <v>52800</v>
      </c>
      <c r="M353" s="45">
        <f ca="1">IFERROR(__xludf.DUMMYFUNCTION("IMPORTRANGE(""https://docs.google.com/spreadsheets/d/1MeEWN-I1oV_STSDYn1IFDPWt_1FKiwhDph83XaGc0o0/edit?usp=sharing"",""งบพรบ!FC71"")"),52040)</f>
        <v>52040</v>
      </c>
      <c r="N353" s="45">
        <f ca="1">IFERROR(__xludf.DUMMYFUNCTION("IMPORTRANGE(""https://docs.google.com/spreadsheets/d/1MeEWN-I1oV_STSDYn1IFDPWt_1FKiwhDph83XaGc0o0/edit?usp=sharing"",""งบพรบ!FE71"")"),52040)</f>
        <v>52040</v>
      </c>
      <c r="O353" s="45">
        <f t="shared" ca="1" si="155"/>
        <v>98.560606060606062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 hidden="1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 hidden="1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IFERROR(__xludf.DUMMYFUNCTION("IMPORTRANGE(""https://docs.google.com/spreadsheets/d/1QqKyyYR6Q21VydFLVH3TRQUabQu_ym0Zz7PgGX0-kHA/edit?usp=sharing"",""แผน!EP71"")"),0)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 hidden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 hidden="1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 hidden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IFERROR(__xludf.DUMMYFUNCTION("IMPORTRANGE(""https://docs.google.com/spreadsheets/d/1XWAQStnk-4SwqDmLtmXYiTMKHgktTP8We1SCoS47DrQ/edit?usp=sharing"",""จัดที่ดิน!W71"")"),0)</f>
        <v>0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 hidden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IFERROR(__xludf.DUMMYFUNCTION("IMPORTRANGE(""https://docs.google.com/spreadsheets/d/1QqKyyYR6Q21VydFLVH3TRQUabQu_ym0Zz7PgGX0-kHA/edit?usp=sharing"",""แผน!EO71"")"),0)</f>
        <v>0</v>
      </c>
      <c r="J359" s="37">
        <f ca="1">IFERROR(__xludf.DUMMYFUNCTION("IMPORTRANGE(""https://docs.google.com/spreadsheets/d/1XWAQStnk-4SwqDmLtmXYiTMKHgktTP8We1SCoS47DrQ/edit?usp=sharing"",""จัดที่ดิน!X71"")"),0)</f>
        <v>0</v>
      </c>
      <c r="K359" s="38">
        <f t="shared" ca="1" si="160"/>
        <v>0</v>
      </c>
      <c r="L359" s="162"/>
      <c r="M359" s="162"/>
      <c r="N359" s="162"/>
      <c r="O359" s="162"/>
      <c r="P359" s="162"/>
    </row>
    <row r="360" spans="1:26" ht="19" hidden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IFERROR(__xludf.DUMMYFUNCTION("IMPORTRANGE(""https://docs.google.com/spreadsheets/d/1QqKyyYR6Q21VydFLVH3TRQUabQu_ym0Zz7PgGX0-kHA/edit?usp=sharing"",""แผน!EP71"")"),0)</f>
        <v>0</v>
      </c>
      <c r="J360" s="37">
        <f ca="1">IFERROR(__xludf.DUMMYFUNCTION("IMPORTRANGE(""https://docs.google.com/spreadsheets/d/1XWAQStnk-4SwqDmLtmXYiTMKHgktTP8We1SCoS47DrQ/edit?usp=sharing"",""จัดที่ดิน!Y71"")"),0)</f>
        <v>0</v>
      </c>
      <c r="K360" s="38">
        <f t="shared" ca="1" si="160"/>
        <v>0</v>
      </c>
      <c r="L360" s="162"/>
      <c r="M360" s="162"/>
      <c r="N360" s="162"/>
      <c r="O360" s="162"/>
      <c r="P360" s="162"/>
    </row>
    <row r="361" spans="1:26" ht="19" hidden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IFERROR(__xludf.DUMMYFUNCTION("IMPORTRANGE(""https://docs.google.com/spreadsheets/d/1XWAQStnk-4SwqDmLtmXYiTMKHgktTP8We1SCoS47DrQ/edit?usp=sharing"",""จัดที่ดิน!Z71"")"),0)</f>
        <v>0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 hidden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IFERROR(__xludf.DUMMYFUNCTION("IMPORTRANGE(""https://docs.google.com/spreadsheets/d/1QqKyyYR6Q21VydFLVH3TRQUabQu_ym0Zz7PgGX0-kHA/edit?usp=sharing"",""แผน!EP71"")"),0)</f>
        <v>0</v>
      </c>
      <c r="J362" s="37">
        <f ca="1">IFERROR(__xludf.DUMMYFUNCTION("IMPORTRANGE(""https://docs.google.com/spreadsheets/d/1XWAQStnk-4SwqDmLtmXYiTMKHgktTP8We1SCoS47DrQ/edit?usp=sharing"",""จัดที่ดิน!AA71"")"),0)</f>
        <v>0</v>
      </c>
      <c r="K362" s="38">
        <f t="shared" ca="1" si="160"/>
        <v>0</v>
      </c>
      <c r="L362" s="162"/>
      <c r="M362" s="162"/>
      <c r="N362" s="162"/>
      <c r="O362" s="162"/>
      <c r="P362" s="162"/>
    </row>
    <row r="363" spans="1:26" ht="19" hidden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IFERROR(__xludf.DUMMYFUNCTION("IMPORTRANGE(""https://docs.google.com/spreadsheets/d/1XWAQStnk-4SwqDmLtmXYiTMKHgktTP8We1SCoS47DrQ/edit?usp=sharing"",""จัดที่ดิน!AB71"")"),0)</f>
        <v>0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 hidden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0</v>
      </c>
      <c r="J364" s="452">
        <f t="shared" ca="1" si="161"/>
        <v>0</v>
      </c>
      <c r="K364" s="453">
        <f t="shared" ca="1" si="160"/>
        <v>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 hidden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IFERROR(__xludf.DUMMYFUNCTION("IMPORTRANGE(""https://docs.google.com/spreadsheets/d/1QqKyyYR6Q21VydFLVH3TRQUabQu_ym0Zz7PgGX0-kHA/edit?usp=sharing"",""แผน!EJ71"")"),0)</f>
        <v>0</v>
      </c>
      <c r="J365" s="462">
        <f ca="1">J372</f>
        <v>0</v>
      </c>
      <c r="K365" s="463">
        <f t="shared" ca="1" si="160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 hidden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 hidden="1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 hidden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IFERROR(__xludf.DUMMYFUNCTION("IMPORTRANGE(""https://docs.google.com/spreadsheets/d/1XWAQStnk-4SwqDmLtmXYiTMKHgktTP8We1SCoS47DrQ/edit?usp=sharing"",""จัดที่ดิน!E71"")"),0)</f>
        <v>0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 hidden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IFERROR(__xludf.DUMMYFUNCTION("IMPORTRANGE(""https://docs.google.com/spreadsheets/d/1QqKyyYR6Q21VydFLVH3TRQUabQu_ym0Zz7PgGX0-kHA/edit?usp=sharing"",""แผน!EI71"")"),0)</f>
        <v>0</v>
      </c>
      <c r="J369" s="37">
        <f ca="1">IFERROR(__xludf.DUMMYFUNCTION("IMPORTRANGE(""https://docs.google.com/spreadsheets/d/1XWAQStnk-4SwqDmLtmXYiTMKHgktTP8We1SCoS47DrQ/edit?usp=sharing"",""จัดที่ดิน!F71"")"),0)</f>
        <v>0</v>
      </c>
      <c r="K369" s="38">
        <f t="shared" ca="1" si="162"/>
        <v>0</v>
      </c>
      <c r="L369" s="162"/>
      <c r="M369" s="162"/>
      <c r="N369" s="162"/>
      <c r="O369" s="162"/>
      <c r="P369" s="162"/>
    </row>
    <row r="370" spans="1:26" ht="19" hidden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IFERROR(__xludf.DUMMYFUNCTION("IMPORTRANGE(""https://docs.google.com/spreadsheets/d/1QqKyyYR6Q21VydFLVH3TRQUabQu_ym0Zz7PgGX0-kHA/edit?usp=sharing"",""แผน!EJ71"")"),0)</f>
        <v>0</v>
      </c>
      <c r="J370" s="37">
        <f ca="1">IFERROR(__xludf.DUMMYFUNCTION("IMPORTRANGE(""https://docs.google.com/spreadsheets/d/1XWAQStnk-4SwqDmLtmXYiTMKHgktTP8We1SCoS47DrQ/edit?usp=sharing"",""จัดที่ดิน!G71"")"),0)</f>
        <v>0</v>
      </c>
      <c r="K370" s="38">
        <f t="shared" ca="1" si="162"/>
        <v>0</v>
      </c>
      <c r="L370" s="162"/>
      <c r="M370" s="162"/>
      <c r="N370" s="162"/>
      <c r="O370" s="162"/>
      <c r="P370" s="162"/>
    </row>
    <row r="371" spans="1:26" ht="19" hidden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IFERROR(__xludf.DUMMYFUNCTION("IMPORTRANGE(""https://docs.google.com/spreadsheets/d/1XWAQStnk-4SwqDmLtmXYiTMKHgktTP8We1SCoS47DrQ/edit?usp=sharing"",""จัดที่ดิน!H71"")"),0)</f>
        <v>0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 hidden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IFERROR(__xludf.DUMMYFUNCTION("IMPORTRANGE(""https://docs.google.com/spreadsheets/d/1QqKyyYR6Q21VydFLVH3TRQUabQu_ym0Zz7PgGX0-kHA/edit?usp=sharing"",""แผน!EJ71"")"),0)</f>
        <v>0</v>
      </c>
      <c r="J372" s="37">
        <f ca="1">IFERROR(__xludf.DUMMYFUNCTION("IMPORTRANGE(""https://docs.google.com/spreadsheets/d/1XWAQStnk-4SwqDmLtmXYiTMKHgktTP8We1SCoS47DrQ/edit?usp=sharing"",""จัดที่ดิน!I71"")"),0)</f>
        <v>0</v>
      </c>
      <c r="K372" s="38">
        <f t="shared" ca="1" si="162"/>
        <v>0</v>
      </c>
      <c r="L372" s="162"/>
      <c r="M372" s="162"/>
      <c r="N372" s="162"/>
      <c r="O372" s="162"/>
      <c r="P372" s="162"/>
    </row>
    <row r="373" spans="1:26" ht="19" hidden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IFERROR(__xludf.DUMMYFUNCTION("IMPORTRANGE(""https://docs.google.com/spreadsheets/d/1XWAQStnk-4SwqDmLtmXYiTMKHgktTP8We1SCoS47DrQ/edit?usp=sharing"",""จัดที่ดิน!J71"")"),0)</f>
        <v>0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 hidden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IFERROR(__xludf.DUMMYFUNCTION("IMPORTRANGE(""https://docs.google.com/spreadsheets/d/1QqKyyYR6Q21VydFLVH3TRQUabQu_ym0Zz7PgGX0-kHA/edit?usp=sharing"",""แผน!EU71"")"),0)</f>
        <v>0</v>
      </c>
      <c r="J374" s="462">
        <f ca="1">J381</f>
        <v>0</v>
      </c>
      <c r="K374" s="463">
        <f t="shared" ca="1" si="162"/>
        <v>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 hidden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 hidden="1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 hidden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IFERROR(__xludf.DUMMYFUNCTION("IMPORTRANGE(""https://docs.google.com/spreadsheets/d/1XWAQStnk-4SwqDmLtmXYiTMKHgktTP8We1SCoS47DrQ/edit?usp=sharing"",""จัดที่ดิน!AH71"")"),0)</f>
        <v>0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 hidden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IFERROR(__xludf.DUMMYFUNCTION("IMPORTRANGE(""https://docs.google.com/spreadsheets/d/1QqKyyYR6Q21VydFLVH3TRQUabQu_ym0Zz7PgGX0-kHA/edit?usp=sharing"",""แผน!ET71"")"),0)</f>
        <v>0</v>
      </c>
      <c r="J378" s="37">
        <f ca="1">IFERROR(__xludf.DUMMYFUNCTION("IMPORTRANGE(""https://docs.google.com/spreadsheets/d/1XWAQStnk-4SwqDmLtmXYiTMKHgktTP8We1SCoS47DrQ/edit?usp=sharing"",""จัดที่ดิน!AI71"")"),0)</f>
        <v>0</v>
      </c>
      <c r="K378" s="38">
        <f t="shared" ca="1" si="163"/>
        <v>0</v>
      </c>
      <c r="L378" s="162"/>
      <c r="M378" s="162"/>
      <c r="N378" s="162"/>
      <c r="O378" s="162"/>
      <c r="P378" s="162"/>
    </row>
    <row r="379" spans="1:26" ht="19" hidden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IFERROR(__xludf.DUMMYFUNCTION("IMPORTRANGE(""https://docs.google.com/spreadsheets/d/1QqKyyYR6Q21VydFLVH3TRQUabQu_ym0Zz7PgGX0-kHA/edit?usp=sharing"",""แผน!EU71"")"),0)</f>
        <v>0</v>
      </c>
      <c r="J379" s="37">
        <f ca="1">IFERROR(__xludf.DUMMYFUNCTION("IMPORTRANGE(""https://docs.google.com/spreadsheets/d/1XWAQStnk-4SwqDmLtmXYiTMKHgktTP8We1SCoS47DrQ/edit?usp=sharing"",""จัดที่ดิน!AJ71"")"),0)</f>
        <v>0</v>
      </c>
      <c r="K379" s="38">
        <f t="shared" ca="1" si="163"/>
        <v>0</v>
      </c>
      <c r="L379" s="162"/>
      <c r="M379" s="162"/>
      <c r="N379" s="162"/>
      <c r="O379" s="162"/>
      <c r="P379" s="162"/>
    </row>
    <row r="380" spans="1:26" ht="19" hidden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IFERROR(__xludf.DUMMYFUNCTION("IMPORTRANGE(""https://docs.google.com/spreadsheets/d/1XWAQStnk-4SwqDmLtmXYiTMKHgktTP8We1SCoS47DrQ/edit?usp=sharing"",""จัดที่ดิน!AK71"")"),0)</f>
        <v>0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 hidden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IFERROR(__xludf.DUMMYFUNCTION("IMPORTRANGE(""https://docs.google.com/spreadsheets/d/1QqKyyYR6Q21VydFLVH3TRQUabQu_ym0Zz7PgGX0-kHA/edit?usp=sharing"",""แผน!EU71"")"),0)</f>
        <v>0</v>
      </c>
      <c r="J381" s="37">
        <f ca="1">IFERROR(__xludf.DUMMYFUNCTION("IMPORTRANGE(""https://docs.google.com/spreadsheets/d/1XWAQStnk-4SwqDmLtmXYiTMKHgktTP8We1SCoS47DrQ/edit?usp=sharing"",""จัดที่ดิน!AL71"")"),0)</f>
        <v>0</v>
      </c>
      <c r="K381" s="38">
        <f t="shared" ca="1" si="163"/>
        <v>0</v>
      </c>
      <c r="L381" s="162"/>
      <c r="M381" s="162"/>
      <c r="N381" s="162"/>
      <c r="O381" s="162"/>
      <c r="P381" s="162"/>
    </row>
    <row r="382" spans="1:26" ht="19" hidden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IFERROR(__xludf.DUMMYFUNCTION("IMPORTRANGE(""https://docs.google.com/spreadsheets/d/1XWAQStnk-4SwqDmLtmXYiTMKHgktTP8We1SCoS47DrQ/edit?usp=sharing"",""จัดที่ดิน!AM71"")"),0)</f>
        <v>0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 hidden="1">
      <c r="A383" s="245"/>
      <c r="B383" s="253"/>
      <c r="C383" s="246"/>
      <c r="D383" s="811" t="s">
        <v>346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 hidden="1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 hidden="1">
      <c r="A385" s="360"/>
      <c r="B385" s="363"/>
      <c r="C385" s="361"/>
      <c r="D385" s="363"/>
      <c r="E385" s="470" t="s">
        <v>163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IFERROR(__xludf.DUMMYFUNCTION("IMPORTRANGE(""https://docs.google.com/spreadsheets/d/1QqKyyYR6Q21VydFLVH3TRQUabQu_ym0Zz7PgGX0-kHA/edit?usp=sharing"",""แผน!EW71"")"),0)</f>
        <v>0</v>
      </c>
      <c r="J385" s="365">
        <f ca="1">IFERROR(__xludf.DUMMYFUNCTION("IMPORTRANGE(""https://docs.google.com/spreadsheets/d/1XWAQStnk-4SwqDmLtmXYiTMKHgktTP8We1SCoS47DrQ/edit?usp=sharing"",""จัดที่ดิน!AP71"")"),0)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4">I400</f>
        <v>0</v>
      </c>
      <c r="J388" s="492">
        <f t="shared" si="164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IFERROR(__xludf.DUMMYFUNCTION("IMPORTRANGE(""https://docs.google.com/spreadsheets/d/1MeEWN-I1oV_STSDYn1IFDPWt_1FKiwhDph83XaGc0o0/edit?usp=sharing"",""งบพรบ!FG71"")"),0)</f>
        <v>0</v>
      </c>
      <c r="M394" s="45">
        <f ca="1">IFERROR(__xludf.DUMMYFUNCTION("IMPORTRANGE(""https://docs.google.com/spreadsheets/d/1MeEWN-I1oV_STSDYn1IFDPWt_1FKiwhDph83XaGc0o0/edit?usp=sharing"",""งบพรบ!FL71"")"),0)</f>
        <v>0</v>
      </c>
      <c r="N394" s="45">
        <f ca="1">IFERROR(__xludf.DUMMYFUNCTION("IMPORTRANGE(""https://docs.google.com/spreadsheets/d/1MeEWN-I1oV_STSDYn1IFDPWt_1FKiwhDph83XaGc0o0/edit?usp=sharing"",""งบพรบ!FN71"")"),0)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IFERROR(__xludf.DUMMYFUNCTION("IMPORTRANGE(""https://docs.google.com/spreadsheets/d/1MeEWN-I1oV_STSDYn1IFDPWt_1FKiwhDph83XaGc0o0/edit?usp=sharing"",""งบพรบ!FJ71"")"),0)</f>
        <v>0</v>
      </c>
      <c r="M397" s="45">
        <f ca="1">IFERROR(__xludf.DUMMYFUNCTION("IMPORTRANGE(""https://docs.google.com/spreadsheets/d/1MeEWN-I1oV_STSDYn1IFDPWt_1FKiwhDph83XaGc0o0/edit?usp=sharing"",""งบพรบ!FM71"")"),0)</f>
        <v>0</v>
      </c>
      <c r="N397" s="45">
        <f ca="1">IFERROR(__xludf.DUMMYFUNCTION("IMPORTRANGE(""https://docs.google.com/spreadsheets/d/1MeEWN-I1oV_STSDYn1IFDPWt_1FKiwhDph83XaGc0o0/edit?usp=sharing"",""งบพรบ!FO71"")"),0)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2">I412</f>
        <v>0</v>
      </c>
      <c r="J401" s="492">
        <f t="shared" si="172"/>
        <v>0</v>
      </c>
      <c r="K401" s="493">
        <f t="shared" si="171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IFERROR(__xludf.DUMMYFUNCTION("IMPORTRANGE(""https://docs.google.com/spreadsheets/d/1MeEWN-I1oV_STSDYn1IFDPWt_1FKiwhDph83XaGc0o0/edit?usp=sharing"",""งบพรบ!FQ71"")"),0)</f>
        <v>0</v>
      </c>
      <c r="M407" s="45">
        <f ca="1">IFERROR(__xludf.DUMMYFUNCTION("IMPORTRANGE(""https://docs.google.com/spreadsheets/d/1MeEWN-I1oV_STSDYn1IFDPWt_1FKiwhDph83XaGc0o0/edit?usp=sharing"",""งบพรบ!FV71"")"),0)</f>
        <v>0</v>
      </c>
      <c r="N407" s="45">
        <f ca="1">IFERROR(__xludf.DUMMYFUNCTION("IMPORTRANGE(""https://docs.google.com/spreadsheets/d/1MeEWN-I1oV_STSDYn1IFDPWt_1FKiwhDph83XaGc0o0/edit?usp=sharing"",""งบพรบ!FX71"")"),0)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IFERROR(__xludf.DUMMYFUNCTION("IMPORTRANGE(""https://docs.google.com/spreadsheets/d/1MeEWN-I1oV_STSDYn1IFDPWt_1FKiwhDph83XaGc0o0/edit?usp=sharing"",""งบพรบ!FT71"")"),0)</f>
        <v>0</v>
      </c>
      <c r="M410" s="45">
        <f ca="1">IFERROR(__xludf.DUMMYFUNCTION("IMPORTRANGE(""https://docs.google.com/spreadsheets/d/1MeEWN-I1oV_STSDYn1IFDPWt_1FKiwhDph83XaGc0o0/edit?usp=sharing"",""งบพรบ!FW71"")"),0)</f>
        <v>0</v>
      </c>
      <c r="N410" s="45">
        <f ca="1">IFERROR(__xludf.DUMMYFUNCTION("IMPORTRANGE(""https://docs.google.com/spreadsheets/d/1MeEWN-I1oV_STSDYn1IFDPWt_1FKiwhDph83XaGc0o0/edit?usp=sharing"",""งบพรบ!FY71"")"),0)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79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0">L419+L444+L467+L502+L523+L544+L629+L655+L685+L737+L754+L770+L786+L805</f>
        <v>143500</v>
      </c>
      <c r="M414" s="518">
        <f t="shared" ca="1" si="180"/>
        <v>143500</v>
      </c>
      <c r="N414" s="518">
        <f t="shared" si="180"/>
        <v>83511</v>
      </c>
      <c r="O414" s="518">
        <f ca="1">IF(L414&gt;0,N414*100/L414,0)</f>
        <v>58.195818815331009</v>
      </c>
      <c r="P414" s="518">
        <f ca="1">IF(M414&gt;0,N414*100/M414,0)</f>
        <v>58.195818815331009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1">I433</f>
        <v>10</v>
      </c>
      <c r="J417" s="533">
        <f t="shared" ca="1" si="181"/>
        <v>10</v>
      </c>
      <c r="K417" s="534">
        <f t="shared" ref="K417:K418" ca="1" si="182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1"/>
        <v>1</v>
      </c>
      <c r="J418" s="533">
        <f t="shared" si="181"/>
        <v>1</v>
      </c>
      <c r="K418" s="534">
        <f t="shared" ca="1" si="182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54560</v>
      </c>
      <c r="M419" s="154">
        <f t="shared" ca="1" si="183"/>
        <v>54560</v>
      </c>
      <c r="N419" s="154">
        <f t="shared" si="183"/>
        <v>54560</v>
      </c>
      <c r="O419" s="154">
        <f t="shared" ref="O419:O424" ca="1" si="184">IF(L419&gt;0,N419*100/L419,0)</f>
        <v>100</v>
      </c>
      <c r="P419" s="154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54560</v>
      </c>
      <c r="M421" s="45">
        <f t="shared" ca="1" si="186"/>
        <v>54560</v>
      </c>
      <c r="N421" s="45">
        <f t="shared" si="186"/>
        <v>54560</v>
      </c>
      <c r="O421" s="45">
        <f t="shared" ca="1" si="184"/>
        <v>100</v>
      </c>
      <c r="P421" s="45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54560</v>
      </c>
      <c r="M422" s="38">
        <f t="shared" ca="1" si="187"/>
        <v>54560</v>
      </c>
      <c r="N422" s="38">
        <f t="shared" si="187"/>
        <v>54560</v>
      </c>
      <c r="O422" s="38">
        <f t="shared" ca="1" si="184"/>
        <v>100</v>
      </c>
      <c r="P422" s="38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IFERROR(__xludf.DUMMYFUNCTION("IMPORTRANGE(""https://docs.google.com/spreadsheets/d/1QqKyyYR6Q21VydFLVH3TRQUabQu_ym0Zz7PgGX0-kHA/edit?usp=sharing"",""แผน!EY71"")"),54560)</f>
        <v>54560</v>
      </c>
      <c r="M424" s="45">
        <f ca="1">L424</f>
        <v>54560</v>
      </c>
      <c r="N424" s="45">
        <f>N425+N426+N427+N428</f>
        <v>54560</v>
      </c>
      <c r="O424" s="45">
        <f t="shared" ca="1" si="184"/>
        <v>100</v>
      </c>
      <c r="P424" s="45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43492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11068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IFERROR(__xludf.DUMMYFUNCTION("IMPORTRANGE(""https://docs.google.com/spreadsheets/d/1QqKyyYR6Q21VydFLVH3TRQUabQu_ym0Zz7PgGX0-kHA/edit?usp=sharing"",""แผน!FB71"")"),0)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10</v>
      </c>
      <c r="J433" s="190">
        <f ca="1">IF(AND(J435=I435,J437=I437,J439=I439),I437+I439,IF(AND(J435=I437,J437=I437),I437,IF(AND(J435=I439,J439=I439),I439,0)))</f>
        <v>10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IFERROR(__xludf.DUMMYFUNCTION("IMPORTRANGE(""https://docs.google.com/spreadsheets/d/1QqKyyYR6Q21VydFLVH3TRQUabQu_ym0Zz7PgGX0-kHA/edit?usp=sharing"",""แผน!FC71"")"),10)</f>
        <v>10</v>
      </c>
      <c r="J435" s="546">
        <v>10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IFERROR(__xludf.DUMMYFUNCTION("IMPORTRANGE(""https://docs.google.com/spreadsheets/d/1QqKyyYR6Q21VydFLVH3TRQUabQu_ym0Zz7PgGX0-kHA/edit?usp=sharing"",""แผน!FD71"")"),0)</f>
        <v>0</v>
      </c>
      <c r="J437" s="546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IFERROR(__xludf.DUMMYFUNCTION("IMPORTRANGE(""https://docs.google.com/spreadsheets/d/1QqKyyYR6Q21VydFLVH3TRQUabQu_ym0Zz7PgGX0-kHA/edit?usp=sharing"",""แผน!FE71"")"),0)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IFERROR(__xludf.DUMMYFUNCTION("IMPORTRANGE(""https://docs.google.com/spreadsheets/d/1QqKyyYR6Q21VydFLVH3TRQUabQu_ym0Zz7PgGX0-kHA/edit?usp=sharing"",""แผน!FF71"")"),10)</f>
        <v>10</v>
      </c>
      <c r="J439" s="546">
        <v>10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IFERROR(__xludf.DUMMYFUNCTION("IMPORTRANGE(""https://docs.google.com/spreadsheets/d/1QqKyyYR6Q21VydFLVH3TRQUabQu_ym0Zz7PgGX0-kHA/edit?usp=sharing"",""แผน!FG71"")"),1)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IFERROR(__xludf.DUMMYFUNCTION("IMPORTRANGE(""https://docs.google.com/spreadsheets/d/1QqKyyYR6Q21VydFLVH3TRQUabQu_ym0Zz7PgGX0-kHA/edit?usp=sharing"",""แผน!FH71"")"),0)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4">I460</f>
        <v>0</v>
      </c>
      <c r="J442" s="552">
        <f t="shared" si="194"/>
        <v>0</v>
      </c>
      <c r="K442" s="553">
        <f t="shared" ca="1" si="193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5">I462</f>
        <v>0</v>
      </c>
      <c r="J443" s="533">
        <f t="shared" si="195"/>
        <v>0</v>
      </c>
      <c r="K443" s="534">
        <f t="shared" ca="1" si="193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199"/>
        <v>0</v>
      </c>
      <c r="M446" s="45">
        <f t="shared" si="199"/>
        <v>0</v>
      </c>
      <c r="N446" s="45">
        <f t="shared" si="199"/>
        <v>0</v>
      </c>
      <c r="O446" s="45">
        <f t="shared" ca="1" si="197"/>
        <v>0</v>
      </c>
      <c r="P446" s="45">
        <f t="shared" si="198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0</v>
      </c>
      <c r="M447" s="38">
        <f t="shared" si="200"/>
        <v>0</v>
      </c>
      <c r="N447" s="38">
        <f t="shared" si="200"/>
        <v>0</v>
      </c>
      <c r="O447" s="38">
        <f t="shared" ca="1" si="197"/>
        <v>0</v>
      </c>
      <c r="P447" s="38">
        <f t="shared" si="198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IFERROR(__xludf.DUMMYFUNCTION("IMPORTRANGE(""https://docs.google.com/spreadsheets/d/1QqKyyYR6Q21VydFLVH3TRQUabQu_ym0Zz7PgGX0-kHA/edit?usp=sharing"",""แผน!FJ71"")"),0)</f>
        <v>0</v>
      </c>
      <c r="M449" s="45">
        <v>0</v>
      </c>
      <c r="N449" s="45">
        <f>N450+N451+N452+N453</f>
        <v>0</v>
      </c>
      <c r="O449" s="45">
        <f t="shared" ca="1" si="197"/>
        <v>0</v>
      </c>
      <c r="P449" s="45">
        <f t="shared" si="198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IFERROR(__xludf.DUMMYFUNCTION("IMPORTRANGE(""https://docs.google.com/spreadsheets/d/1QqKyyYR6Q21VydFLVH3TRQUabQu_ym0Zz7PgGX0-kHA/edit?usp=sharing"",""แผน!FM71"")"),0)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IFERROR(__xludf.DUMMYFUNCTION("IMPORTRANGE(""https://docs.google.com/spreadsheets/d/1QqKyyYR6Q21VydFLVH3TRQUabQu_ym0Zz7PgGX0-kHA/edit?usp=sharing"",""แผน!FN71"")"),0)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IFERROR(__xludf.DUMMYFUNCTION("IMPORTRANGE(""https://docs.google.com/spreadsheets/d/1QqKyyYR6Q21VydFLVH3TRQUabQu_ym0Zz7PgGX0-kHA/edit?usp=sharing"",""แผน!FO71"")"),0)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IFERROR(__xludf.DUMMYFUNCTION("IMPORTRANGE(""https://docs.google.com/spreadsheets/d/1QqKyyYR6Q21VydFLVH3TRQUabQu_ym0Zz7PgGX0-kHA/edit?usp=sharing"",""แผน!FO71"")"),0)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IFERROR(__xludf.DUMMYFUNCTION("IMPORTRANGE(""https://docs.google.com/spreadsheets/d/1QqKyyYR6Q21VydFLVH3TRQUabQu_ym0Zz7PgGX0-kHA/edit?usp=sharing"",""แผน!FN71"")"),0)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IFERROR(__xludf.DUMMYFUNCTION("IMPORTRANGE(""https://docs.google.com/spreadsheets/d/1QqKyyYR6Q21VydFLVH3TRQUabQu_ym0Zz7PgGX0-kHA/edit?usp=sharing"",""แผน!FX71"")"),0)</f>
        <v>0</v>
      </c>
      <c r="J465" s="552">
        <f>J485+J489+J492</f>
        <v>0</v>
      </c>
      <c r="K465" s="553">
        <f t="shared" ref="K465:K466" ca="1" si="204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IFERROR(__xludf.DUMMYFUNCTION("IMPORTRANGE(""https://docs.google.com/spreadsheets/d/1QqKyyYR6Q21VydFLVH3TRQUabQu_ym0Zz7PgGX0-kHA/edit?usp=sharing"",""แผน!FW71"")"),0)</f>
        <v>0</v>
      </c>
      <c r="J466" s="533">
        <f>J483+J487</f>
        <v>0</v>
      </c>
      <c r="K466" s="534">
        <f t="shared" ca="1" si="204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8"/>
        <v>0</v>
      </c>
      <c r="M469" s="45">
        <f t="shared" si="208"/>
        <v>0</v>
      </c>
      <c r="N469" s="45">
        <f t="shared" si="208"/>
        <v>0</v>
      </c>
      <c r="O469" s="45">
        <f t="shared" ca="1" si="206"/>
        <v>0</v>
      </c>
      <c r="P469" s="45">
        <f t="shared" si="207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0</v>
      </c>
      <c r="M470" s="38">
        <f t="shared" si="209"/>
        <v>0</v>
      </c>
      <c r="N470" s="38">
        <f t="shared" si="209"/>
        <v>0</v>
      </c>
      <c r="O470" s="38">
        <f t="shared" ca="1" si="206"/>
        <v>0</v>
      </c>
      <c r="P470" s="38">
        <f t="shared" si="207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IFERROR(__xludf.DUMMYFUNCTION("IMPORTRANGE(""https://docs.google.com/spreadsheets/d/1QqKyyYR6Q21VydFLVH3TRQUabQu_ym0Zz7PgGX0-kHA/edit?usp=sharing"",""แผน!FS71"")"),0)</f>
        <v>0</v>
      </c>
      <c r="M472" s="45">
        <v>0</v>
      </c>
      <c r="N472" s="45">
        <f>N473+N474+N475+N476</f>
        <v>0</v>
      </c>
      <c r="O472" s="45">
        <f t="shared" ca="1" si="206"/>
        <v>0</v>
      </c>
      <c r="P472" s="45">
        <f t="shared" si="207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IFERROR(__xludf.DUMMYFUNCTION("IMPORTRANGE(""https://docs.google.com/spreadsheets/d/1QqKyyYR6Q21VydFLVH3TRQUabQu_ym0Zz7PgGX0-kHA/edit?usp=sharing"",""แผน!FV71"")"),0)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IFERROR(__xludf.DUMMYFUNCTION("IMPORTRANGE(""https://docs.google.com/spreadsheets/d/1QqKyyYR6Q21VydFLVH3TRQUabQu_ym0Zz7PgGX0-kHA/edit?usp=sharing"",""แผน!FY71"")"),0)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IFERROR(__xludf.DUMMYFUNCTION("IMPORTRANGE(""https://docs.google.com/spreadsheets/d/1QqKyyYR6Q21VydFLVH3TRQUabQu_ym0Zz7PgGX0-kHA/edit?usp=sharing"",""แผน!FZ71"")"),0)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IFERROR(__xludf.DUMMYFUNCTION("IMPORTRANGE(""https://docs.google.com/spreadsheets/d/1QqKyyYR6Q21VydFLVH3TRQUabQu_ym0Zz7PgGX0-kHA/edit?usp=sharing"",""แผน!GA71"")"),0)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IFERROR(__xludf.DUMMYFUNCTION("IMPORTRANGE(""https://docs.google.com/spreadsheets/d/1QqKyyYR6Q21VydFLVH3TRQUabQu_ym0Zz7PgGX0-kHA/edit?usp=sharing"",""แผน!GB71"")"),0)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IFERROR(__xludf.DUMMYFUNCTION("IMPORTRANGE(""https://docs.google.com/spreadsheets/d/1QqKyyYR6Q21VydFLVH3TRQUabQu_ym0Zz7PgGX0-kHA/edit?usp=sharing"",""แผน!GC71"")"),0)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IFERROR(__xludf.DUMMYFUNCTION("IMPORTRANGE(""https://docs.google.com/spreadsheets/d/1QqKyyYR6Q21VydFLVH3TRQUabQu_ym0Zz7PgGX0-kHA/edit?usp=sharing"",""แผน!FY71"")"),0)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IFERROR(__xludf.DUMMYFUNCTION("IMPORTRANGE(""https://docs.google.com/spreadsheets/d/1QqKyyYR6Q21VydFLVH3TRQUabQu_ym0Zz7PgGX0-kHA/edit?usp=sharing"",""แผน!GA71"")"),0)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3">J516</f>
        <v>0</v>
      </c>
      <c r="K500" s="586">
        <f t="shared" ref="K500:K501" si="214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3"/>
        <v>0</v>
      </c>
      <c r="K501" s="594">
        <f t="shared" si="214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5">L503+L504</f>
        <v>0</v>
      </c>
      <c r="M502" s="598">
        <f t="shared" si="215"/>
        <v>0</v>
      </c>
      <c r="N502" s="598">
        <f t="shared" si="215"/>
        <v>0</v>
      </c>
      <c r="O502" s="598">
        <f t="shared" ref="O502:O507" si="216">IF(L502&gt;0,N502*100/L502,0)</f>
        <v>0</v>
      </c>
      <c r="P502" s="598">
        <f t="shared" ref="P502:P507" si="217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3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4">I537</f>
        <v>0</v>
      </c>
      <c r="J522" s="627">
        <f t="shared" ca="1" si="224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IFERROR(__xludf.DUMMYFUNCTION("IMPORTRANGE(""https://docs.google.com/spreadsheets/d/1QqKyyYR6Q21VydFLVH3TRQUabQu_ym0Zz7PgGX0-kHA/edit?usp=sharing"",""แผน!GQ71"")"),0)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IFERROR(__xludf.DUMMYFUNCTION("IMPORTRANGE(""https://docs.google.com/spreadsheets/d/1QqKyyYR6Q21VydFLVH3TRQUabQu_ym0Zz7PgGX0-kHA/edit?usp=sharing"",""แผน!GT71"")"),0)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IFERROR(__xludf.DUMMYFUNCTION("IMPORTRANGE(""https://docs.google.com/spreadsheets/d/1QqKyyYR6Q21VydFLVH3TRQUabQu_ym0Zz7PgGX0-kHA/edit?usp=sharing"",""แผน!GU71"")"),0)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IFERROR(__xludf.DUMMYFUNCTION("IMPORTRANGE(""https://docs.google.com/spreadsheets/d/1QqKyyYR6Q21VydFLVH3TRQUabQu_ym0Zz7PgGX0-kHA/edit?usp=sharing"",""แผน!GV71"")"),0)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IFERROR(__xludf.DUMMYFUNCTION("IMPORTRANGE(""https://docs.google.com/spreadsheets/d/1QqKyyYR6Q21VydFLVH3TRQUabQu_ym0Zz7PgGX0-kHA/edit?usp=sharing"",""แผน!GW71"")"),0)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IFERROR(__xludf.DUMMYFUNCTION("IMPORTRANGE(""https://docs.google.com/spreadsheets/d/1QqKyyYR6Q21VydFLVH3TRQUabQu_ym0Zz7PgGX0-kHA/edit?usp=sharing"",""แผน!GX71"")"),0)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IFERROR(__xludf.DUMMYFUNCTION("IMPORTRANGE(""https://docs.google.com/spreadsheets/d/1QqKyyYR6Q21VydFLVH3TRQUabQu_ym0Zz7PgGX0-kHA/edit?usp=sharing"",""แผน!GY71"")"),0)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IFERROR(__xludf.DUMMYFUNCTION("IMPORTRANGE(""https://docs.google.com/spreadsheets/d/1QqKyyYR6Q21VydFLVH3TRQUabQu_ym0Zz7PgGX0-kHA/edit?usp=sharing"",""แผน!GZ71"")"),0)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4">I559</f>
        <v>0</v>
      </c>
      <c r="J543" s="635">
        <f t="shared" si="234"/>
        <v>0</v>
      </c>
      <c r="K543" s="636">
        <f t="shared" ca="1" si="233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5">L545+L546</f>
        <v>75300</v>
      </c>
      <c r="M544" s="154">
        <f t="shared" ca="1" si="235"/>
        <v>75300</v>
      </c>
      <c r="N544" s="154">
        <f t="shared" si="235"/>
        <v>9200</v>
      </c>
      <c r="O544" s="154">
        <f t="shared" ref="O544:O549" ca="1" si="236">IF(L544&gt;0,N544*100/L544,0)</f>
        <v>12.217795484727755</v>
      </c>
      <c r="P544" s="154">
        <f t="shared" ref="P544:P549" ca="1" si="237">IF(M544&gt;0,N544*100/M544,0)</f>
        <v>12.217795484727755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8"/>
        <v>75300</v>
      </c>
      <c r="M546" s="45">
        <f t="shared" ca="1" si="239"/>
        <v>75300</v>
      </c>
      <c r="N546" s="45">
        <f t="shared" si="239"/>
        <v>9200</v>
      </c>
      <c r="O546" s="45">
        <f t="shared" ca="1" si="236"/>
        <v>12.217795484727755</v>
      </c>
      <c r="P546" s="45">
        <f t="shared" ca="1" si="237"/>
        <v>12.217795484727755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75300</v>
      </c>
      <c r="M547" s="38">
        <f t="shared" ca="1" si="240"/>
        <v>75300</v>
      </c>
      <c r="N547" s="38">
        <f t="shared" si="240"/>
        <v>9200</v>
      </c>
      <c r="O547" s="38">
        <f t="shared" ca="1" si="236"/>
        <v>12.217795484727755</v>
      </c>
      <c r="P547" s="38">
        <f t="shared" ca="1" si="237"/>
        <v>12.217795484727755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IFERROR(__xludf.DUMMYFUNCTION("IMPORTRANGE(""https://docs.google.com/spreadsheets/d/1QqKyyYR6Q21VydFLVH3TRQUabQu_ym0Zz7PgGX0-kHA/edit?usp=sharing"",""แผน!HB71"")"),75300)</f>
        <v>75300</v>
      </c>
      <c r="M549" s="45">
        <f ca="1">L549</f>
        <v>75300</v>
      </c>
      <c r="N549" s="45">
        <f>N550+N551+N552+N553+N554</f>
        <v>9200</v>
      </c>
      <c r="O549" s="45">
        <f t="shared" ca="1" si="236"/>
        <v>12.217795484727755</v>
      </c>
      <c r="P549" s="45">
        <f t="shared" ca="1" si="237"/>
        <v>12.217795484727755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9200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IFERROR(__xludf.DUMMYFUNCTION("IMPORTRANGE(""https://docs.google.com/spreadsheets/d/1QqKyyYR6Q21VydFLVH3TRQUabQu_ym0Zz7PgGX0-kHA/edit?usp=sharing"",""แผน!HF71"")"),0)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4">I576</f>
        <v>0</v>
      </c>
      <c r="J559" s="627">
        <f t="shared" si="244"/>
        <v>0</v>
      </c>
      <c r="K559" s="628">
        <f t="shared" ref="K559:K561" ca="1" si="245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IFERROR(__xludf.DUMMYFUNCTION("IMPORTRANGE(""https://docs.google.com/spreadsheets/d/1QqKyyYR6Q21VydFLVH3TRQUabQu_ym0Zz7PgGX0-kHA/edit?usp=sharing"",""แผน!HH71"")"),0)</f>
        <v>0</v>
      </c>
      <c r="J560" s="189">
        <f t="shared" ref="J560:J561" si="246">J562+J564+J566</f>
        <v>0</v>
      </c>
      <c r="K560" s="390">
        <f t="shared" ca="1" si="245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IFERROR(__xludf.DUMMYFUNCTION("IMPORTRANGE(""https://docs.google.com/spreadsheets/d/1QqKyyYR6Q21VydFLVH3TRQUabQu_ym0Zz7PgGX0-kHA/edit?usp=sharing"",""แผน!HG71"")"),0)</f>
        <v>0</v>
      </c>
      <c r="J561" s="189">
        <f t="shared" si="246"/>
        <v>0</v>
      </c>
      <c r="K561" s="390">
        <f t="shared" ca="1" si="245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IFERROR(__xludf.DUMMYFUNCTION("IMPORTRANGE(""https://docs.google.com/spreadsheets/d/1QqKyyYR6Q21VydFLVH3TRQUabQu_ym0Zz7PgGX0-kHA/edit?usp=sharing"",""แผน!HH71"")"),0)</f>
        <v>0</v>
      </c>
      <c r="J568" s="190">
        <f t="shared" ref="J568:J569" si="247">J570+J572+J574</f>
        <v>0</v>
      </c>
      <c r="K568" s="390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IFERROR(__xludf.DUMMYFUNCTION("IMPORTRANGE(""https://docs.google.com/spreadsheets/d/1QqKyyYR6Q21VydFLVH3TRQUabQu_ym0Zz7PgGX0-kHA/edit?usp=sharing"",""แผน!HG71"")"),0)</f>
        <v>0</v>
      </c>
      <c r="J569" s="190">
        <f t="shared" si="247"/>
        <v>0</v>
      </c>
      <c r="K569" s="390">
        <f t="shared" ca="1" si="248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IFERROR(__xludf.DUMMYFUNCTION("IMPORTRANGE(""https://docs.google.com/spreadsheets/d/1QqKyyYR6Q21VydFLVH3TRQUabQu_ym0Zz7PgGX0-kHA/edit?usp=sharing"",""แผน!HH71"")"),0)</f>
        <v>0</v>
      </c>
      <c r="J576" s="190">
        <f t="shared" ref="J576:J577" si="249">J578+J580+J582+J588+J590</f>
        <v>0</v>
      </c>
      <c r="K576" s="390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IFERROR(__xludf.DUMMYFUNCTION("IMPORTRANGE(""https://docs.google.com/spreadsheets/d/1QqKyyYR6Q21VydFLVH3TRQUabQu_ym0Zz7PgGX0-kHA/edit?usp=sharing"",""แผน!HG71"")"),0)</f>
        <v>0</v>
      </c>
      <c r="J577" s="190">
        <f t="shared" si="249"/>
        <v>0</v>
      </c>
      <c r="K577" s="390">
        <f t="shared" ca="1" si="250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2">I593</f>
        <v>398.83</v>
      </c>
      <c r="J592" s="627">
        <f t="shared" si="252"/>
        <v>0</v>
      </c>
      <c r="K592" s="628">
        <f t="shared" ref="K592:K594" ca="1" si="253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IFERROR(__xludf.DUMMYFUNCTION("IMPORTRANGE(""https://docs.google.com/spreadsheets/d/1QqKyyYR6Q21VydFLVH3TRQUabQu_ym0Zz7PgGX0-kHA/edit?usp=sharing"",""แผน!HJ71"")"),398.83)</f>
        <v>398.83</v>
      </c>
      <c r="J593" s="189">
        <f t="shared" ref="J593:J594" si="254">J595+J603+J609</f>
        <v>0</v>
      </c>
      <c r="K593" s="390">
        <f t="shared" ca="1" si="253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IFERROR(__xludf.DUMMYFUNCTION("IMPORTRANGE(""https://docs.google.com/spreadsheets/d/1QqKyyYR6Q21VydFLVH3TRQUabQu_ym0Zz7PgGX0-kHA/edit?usp=sharing"",""แผน!HI71"")"),31)</f>
        <v>31</v>
      </c>
      <c r="J594" s="189">
        <f t="shared" si="254"/>
        <v>0</v>
      </c>
      <c r="K594" s="390">
        <f t="shared" ca="1" si="253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5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5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6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6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7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8">J614+J616</f>
        <v>0</v>
      </c>
      <c r="K612" s="663">
        <f t="shared" si="257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8"/>
        <v>0</v>
      </c>
      <c r="K613" s="663">
        <f t="shared" si="257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IFERROR(__xludf.DUMMYFUNCTION("IMPORTRANGE(""https://docs.google.com/spreadsheets/d/1QqKyyYR6Q21VydFLVH3TRQUabQu_ym0Zz7PgGX0-kHA/edit?usp=sharing"",""แผน!HL71"")"),0)</f>
        <v>0</v>
      </c>
      <c r="J620" s="672">
        <f t="shared" ref="J620:J621" si="259">J622+J624+J626</f>
        <v>0</v>
      </c>
      <c r="K620" s="673">
        <f t="shared" ref="K620:K621" ca="1" si="260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IFERROR(__xludf.DUMMYFUNCTION("IMPORTRANGE(""https://docs.google.com/spreadsheets/d/1QqKyyYR6Q21VydFLVH3TRQUabQu_ym0Zz7PgGX0-kHA/edit?usp=sharing"",""แผน!HK71"")"),0)</f>
        <v>0</v>
      </c>
      <c r="J621" s="672">
        <f t="shared" si="259"/>
        <v>0</v>
      </c>
      <c r="K621" s="673">
        <f t="shared" ca="1" si="260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1">I651</f>
        <v>0</v>
      </c>
      <c r="J628" s="683">
        <f t="shared" ca="1" si="261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5"/>
        <v>0</v>
      </c>
      <c r="M631" s="45">
        <f t="shared" si="265"/>
        <v>0</v>
      </c>
      <c r="N631" s="45">
        <f t="shared" si="265"/>
        <v>0</v>
      </c>
      <c r="O631" s="45">
        <f t="shared" ca="1" si="263"/>
        <v>0</v>
      </c>
      <c r="P631" s="45">
        <f t="shared" si="264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0</v>
      </c>
      <c r="M632" s="38">
        <f t="shared" si="266"/>
        <v>0</v>
      </c>
      <c r="N632" s="38">
        <f t="shared" si="266"/>
        <v>0</v>
      </c>
      <c r="O632" s="38">
        <f t="shared" ca="1" si="263"/>
        <v>0</v>
      </c>
      <c r="P632" s="38">
        <f t="shared" si="264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IFERROR(__xludf.DUMMYFUNCTION("IMPORTRANGE(""https://docs.google.com/spreadsheets/d/1QqKyyYR6Q21VydFLVH3TRQUabQu_ym0Zz7PgGX0-kHA/edit?usp=sharing"",""แผน!HN71"")"),0)</f>
        <v>0</v>
      </c>
      <c r="M634" s="45">
        <v>0</v>
      </c>
      <c r="N634" s="45">
        <f>N635+N636+N637+N638</f>
        <v>0</v>
      </c>
      <c r="O634" s="45">
        <f t="shared" ca="1" si="263"/>
        <v>0</v>
      </c>
      <c r="P634" s="45">
        <f t="shared" si="264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IFERROR(__xludf.DUMMYFUNCTION("IMPORTRANGE(""https://docs.google.com/spreadsheets/d/1QqKyyYR6Q21VydFLVH3TRQUabQu_ym0Zz7PgGX0-kHA/edit?usp=sharing"",""แผน!HQ71"")"),0)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IFERROR(__xludf.DUMMYFUNCTION("IMPORTRANGE(""https://docs.google.com/spreadsheets/d/1QqKyyYR6Q21VydFLVH3TRQUabQu_ym0Zz7PgGX0-kHA/edit?usp=sharing"",""แผน!HR71"")"),0)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IFERROR(__xludf.DUMMYFUNCTION("IMPORTRANGE(""https://docs.google.com/spreadsheets/d/1QqKyyYR6Q21VydFLVH3TRQUabQu_ym0Zz7PgGX0-kHA/edit?usp=sharing"",""แผน!HR71"")"),0)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IFERROR(__xludf.DUMMYFUNCTION("IMPORTRANGE(""https://docs.google.com/spreadsheets/d/1XWAQStnk-4SwqDmLtmXYiTMKHgktTP8We1SCoS47DrQ/edit?usp=sharing"",""จัดที่ดิน!AS71"")"),0)</f>
        <v>0</v>
      </c>
      <c r="K645" s="162">
        <f t="shared" si="270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IFERROR(__xludf.DUMMYFUNCTION("IMPORTRANGE(""https://docs.google.com/spreadsheets/d/1XWAQStnk-4SwqDmLtmXYiTMKHgktTP8We1SCoS47DrQ/edit?usp=sharing"",""จัดที่ดิน!AT71"")"),0)</f>
        <v>0</v>
      </c>
      <c r="K646" s="38">
        <f t="shared" si="270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IFERROR(__xludf.DUMMYFUNCTION("IMPORTRANGE(""https://docs.google.com/spreadsheets/d/1QqKyyYR6Q21VydFLVH3TRQUabQu_ym0Zz7PgGX0-kHA/edit?usp=sharing"",""แผน!HS71"")"),0)</f>
        <v>0</v>
      </c>
      <c r="J647" s="37">
        <f ca="1">IFERROR(__xludf.DUMMYFUNCTION("IMPORTRANGE(""https://docs.google.com/spreadsheets/d/1XWAQStnk-4SwqDmLtmXYiTMKHgktTP8We1SCoS47DrQ/edit?usp=sharing"",""จัดที่ดิน!AU71"")"),0)</f>
        <v>0</v>
      </c>
      <c r="K647" s="162">
        <f t="shared" ca="1" si="270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IFERROR(__xludf.DUMMYFUNCTION("IMPORTRANGE(""https://docs.google.com/spreadsheets/d/1XWAQStnk-4SwqDmLtmXYiTMKHgktTP8We1SCoS47DrQ/edit?usp=sharing"",""จัดที่ดิน!AV71"")"),0)</f>
        <v>0</v>
      </c>
      <c r="K648" s="38">
        <f t="shared" si="270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IFERROR(__xludf.DUMMYFUNCTION("IMPORTRANGE(""https://docs.google.com/spreadsheets/d/1QqKyyYR6Q21VydFLVH3TRQUabQu_ym0Zz7PgGX0-kHA/edit?usp=sharing"",""แผน!HS71"")"),0)</f>
        <v>0</v>
      </c>
      <c r="J649" s="37">
        <f ca="1">IFERROR(__xludf.DUMMYFUNCTION("IMPORTRANGE(""https://docs.google.com/spreadsheets/d/1XWAQStnk-4SwqDmLtmXYiTMKHgktTP8We1SCoS47DrQ/edit?usp=sharing"",""จัดที่ดิน!AW71"")"),0)</f>
        <v>0</v>
      </c>
      <c r="K649" s="162">
        <f t="shared" ca="1" si="270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IFERROR(__xludf.DUMMYFUNCTION("IMPORTRANGE(""https://docs.google.com/spreadsheets/d/1XWAQStnk-4SwqDmLtmXYiTMKHgktTP8We1SCoS47DrQ/edit?usp=sharing"",""จัดที่ดิน!AX71"")"),0)</f>
        <v>0</v>
      </c>
      <c r="K650" s="38">
        <f t="shared" si="270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IFERROR(__xludf.DUMMYFUNCTION("IMPORTRANGE(""https://docs.google.com/spreadsheets/d/1QqKyyYR6Q21VydFLVH3TRQUabQu_ym0Zz7PgGX0-kHA/edit?usp=sharing"",""แผน!HS71"")"),0)</f>
        <v>0</v>
      </c>
      <c r="J651" s="37">
        <f ca="1">IFERROR(__xludf.DUMMYFUNCTION("IMPORTRANGE(""https://docs.google.com/spreadsheets/d/1XWAQStnk-4SwqDmLtmXYiTMKHgktTP8We1SCoS47DrQ/edit?usp=sharing"",""จัดที่ดิน!AY71"")"),0)</f>
        <v>0</v>
      </c>
      <c r="K651" s="162">
        <f t="shared" ca="1" si="270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IFERROR(__xludf.DUMMYFUNCTION("IMPORTRANGE(""https://docs.google.com/spreadsheets/d/1XWAQStnk-4SwqDmLtmXYiTMKHgktTP8We1SCoS47DrQ/edit?usp=sharing"",""จัดที่ดิน!AZ71"")"),0)</f>
        <v>0</v>
      </c>
      <c r="K652" s="472">
        <f t="shared" si="270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1">I669</f>
        <v>100</v>
      </c>
      <c r="J654" s="627">
        <f t="shared" si="271"/>
        <v>143</v>
      </c>
      <c r="K654" s="628">
        <f ca="1">IF(I654&gt;0,J654*100/I654,0)</f>
        <v>143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2">L656+L657</f>
        <v>12400</v>
      </c>
      <c r="M655" s="191">
        <f t="shared" ca="1" si="272"/>
        <v>12400</v>
      </c>
      <c r="N655" s="191">
        <f t="shared" si="272"/>
        <v>19751</v>
      </c>
      <c r="O655" s="191">
        <f t="shared" ref="O655:O660" ca="1" si="273">IF(L655&gt;0,N655*100/L655,0)</f>
        <v>159.28225806451613</v>
      </c>
      <c r="P655" s="191">
        <f t="shared" ref="P655:P660" ca="1" si="274">IF(M655&gt;0,N655*100/M655,0)</f>
        <v>159.28225806451613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5"/>
        <v>12400</v>
      </c>
      <c r="M657" s="45">
        <f t="shared" ca="1" si="275"/>
        <v>12400</v>
      </c>
      <c r="N657" s="45">
        <f t="shared" si="275"/>
        <v>19751</v>
      </c>
      <c r="O657" s="45">
        <f t="shared" ca="1" si="273"/>
        <v>159.28225806451613</v>
      </c>
      <c r="P657" s="45">
        <f t="shared" ca="1" si="274"/>
        <v>159.28225806451613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12400</v>
      </c>
      <c r="M658" s="38">
        <f t="shared" ca="1" si="276"/>
        <v>12400</v>
      </c>
      <c r="N658" s="38">
        <f t="shared" si="276"/>
        <v>19751</v>
      </c>
      <c r="O658" s="38">
        <f t="shared" ca="1" si="273"/>
        <v>159.28225806451613</v>
      </c>
      <c r="P658" s="38">
        <f t="shared" ca="1" si="274"/>
        <v>159.28225806451613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IFERROR(__xludf.DUMMYFUNCTION("IMPORTRANGE(""https://docs.google.com/spreadsheets/d/1QqKyyYR6Q21VydFLVH3TRQUabQu_ym0Zz7PgGX0-kHA/edit?usp=sharing"",""แผน!HV71"")"),12400)</f>
        <v>12400</v>
      </c>
      <c r="M660" s="45">
        <f ca="1">L660</f>
        <v>12400</v>
      </c>
      <c r="N660" s="45">
        <f>N661+N662+N663+N664</f>
        <v>19751</v>
      </c>
      <c r="O660" s="45">
        <f t="shared" ca="1" si="273"/>
        <v>159.28225806451613</v>
      </c>
      <c r="P660" s="45">
        <f t="shared" ca="1" si="274"/>
        <v>159.28225806451613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19751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IFERROR(__xludf.DUMMYFUNCTION("IMPORTRANGE(""https://docs.google.com/spreadsheets/d/1QqKyyYR6Q21VydFLVH3TRQUabQu_ym0Zz7PgGX0-kHA/edit?usp=sharing"",""แผน!IA71"")"),100)</f>
        <v>100</v>
      </c>
      <c r="J669" s="190">
        <f>J675</f>
        <v>143</v>
      </c>
      <c r="K669" s="191">
        <f ca="1">IF(I669&gt;0,J669*100/I669,0)</f>
        <v>143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IFERROR(__xludf.DUMMYFUNCTION("IMPORTRANGE(""https://docs.google.com/spreadsheets/d/1QqKyyYR6Q21VydFLVH3TRQUabQu_ym0Zz7PgGX0-kHA/edit?usp=sharing"",""แผน!HZ71"")"),4)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IFERROR(__xludf.DUMMYFUNCTION("IMPORTRANGE(""https://docs.google.com/spreadsheets/d/1QqKyyYR6Q21VydFLVH3TRQUabQu_ym0Zz7PgGX0-kHA/edit?usp=sharing"",""แผน!HZ71"")"),4)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170</v>
      </c>
      <c r="K672" s="38">
        <f t="shared" ref="K672:K675" ca="1" si="280">IF(I$669&gt;0,J672*100/I$669,0)</f>
        <v>170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170</v>
      </c>
      <c r="K673" s="38">
        <f t="shared" ca="1" si="280"/>
        <v>170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170</v>
      </c>
      <c r="K674" s="38">
        <f t="shared" ca="1" si="280"/>
        <v>170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143</v>
      </c>
      <c r="K675" s="191">
        <f t="shared" ca="1" si="280"/>
        <v>143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143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1">L686+L687</f>
        <v>1240</v>
      </c>
      <c r="M685" s="191">
        <f t="shared" ca="1" si="281"/>
        <v>1240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ca="1" si="283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4"/>
        <v>1240</v>
      </c>
      <c r="M687" s="45">
        <f t="shared" ca="1" si="284"/>
        <v>1240</v>
      </c>
      <c r="N687" s="45">
        <f t="shared" si="284"/>
        <v>0</v>
      </c>
      <c r="O687" s="45">
        <f t="shared" ca="1" si="282"/>
        <v>0</v>
      </c>
      <c r="P687" s="45">
        <f t="shared" ca="1" si="283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1240</v>
      </c>
      <c r="M688" s="38">
        <f t="shared" ca="1" si="285"/>
        <v>1240</v>
      </c>
      <c r="N688" s="38">
        <f t="shared" si="285"/>
        <v>0</v>
      </c>
      <c r="O688" s="38">
        <f t="shared" ca="1" si="282"/>
        <v>0</v>
      </c>
      <c r="P688" s="38">
        <f t="shared" ca="1" si="283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IFERROR(__xludf.DUMMYFUNCTION("IMPORTRANGE(""https://docs.google.com/spreadsheets/d/1QqKyyYR6Q21VydFLVH3TRQUabQu_ym0Zz7PgGX0-kHA/edit?usp=sharing"",""แผน!HW71"")"),1240)</f>
        <v>1240</v>
      </c>
      <c r="M690" s="45">
        <f ca="1">L690</f>
        <v>1240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IFERROR(__xludf.DUMMYFUNCTION("IMPORTRANGE(""https://docs.google.com/spreadsheets/d/1QqKyyYR6Q21VydFLVH3TRQUabQu_ym0Zz7PgGX0-kHA/edit?usp=sharing"",""แผน!IC71"")"),0)</f>
        <v>0</v>
      </c>
      <c r="J699" s="37">
        <f ca="1">IFERROR(__xludf.DUMMYFUNCTION("IMPORTRANGE(""https://docs.google.com/spreadsheets/d/1XWAQStnk-4SwqDmLtmXYiTMKHgktTP8We1SCoS47DrQ/edit?usp=sharing"",""จัดที่ดิน!BB71"")"),0)</f>
        <v>0</v>
      </c>
      <c r="K699" s="38">
        <f t="shared" ref="K699:K701" ca="1" si="289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IFERROR(__xludf.DUMMYFUNCTION("IMPORTRANGE(""https://docs.google.com/spreadsheets/d/1QqKyyYR6Q21VydFLVH3TRQUabQu_ym0Zz7PgGX0-kHA/edit?usp=sharing"",""แผน!ID71"")"),1)</f>
        <v>1</v>
      </c>
      <c r="J700" s="37">
        <f ca="1">IFERROR(__xludf.DUMMYFUNCTION("IMPORTRANGE(""https://docs.google.com/spreadsheets/d/1XWAQStnk-4SwqDmLtmXYiTMKHgktTP8We1SCoS47DrQ/edit?usp=sharing"",""จัดที่ดิน!BD71"")"),0)</f>
        <v>0</v>
      </c>
      <c r="K700" s="38">
        <f t="shared" ca="1" si="289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IFERROR(__xludf.DUMMYFUNCTION("IMPORTRANGE(""https://docs.google.com/spreadsheets/d/1QqKyyYR6Q21VydFLVH3TRQUabQu_ym0Zz7PgGX0-kHA/edit?usp=sharing"",""แผน!IE71"")"),0)</f>
        <v>0</v>
      </c>
      <c r="J701" s="190">
        <f>J704+J707</f>
        <v>0</v>
      </c>
      <c r="K701" s="191">
        <f t="shared" ca="1" si="289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IFERROR(__xludf.DUMMYFUNCTION("IMPORTRANGE(""https://docs.google.com/spreadsheets/d/1QqKyyYR6Q21VydFLVH3TRQUabQu_ym0Zz7PgGX0-kHA/edit?usp=sharing"",""แผน!IF71"")"),0)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IFERROR(__xludf.DUMMYFUNCTION("IMPORTRANGE(""https://docs.google.com/spreadsheets/d/1QqKyyYR6Q21VydFLVH3TRQUabQu_ym0Zz7PgGX0-kHA/edit?usp=sharing"",""แผน!IG71"")"),0)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IFERROR(__xludf.DUMMYFUNCTION("IMPORTRANGE(""https://docs.google.com/spreadsheets/d/1QqKyyYR6Q21VydFLVH3TRQUabQu_ym0Zz7PgGX0-kHA/edit?usp=sharing"",""แผน!IH71"")"),0)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IFERROR(__xludf.DUMMYFUNCTION("IMPORTRANGE(""https://docs.google.com/spreadsheets/d/1XWAQStnk-4SwqDmLtmXYiTMKHgktTP8We1SCoS47DrQ/edit?usp=sharing"",""จัดที่ดิน!BF71"")"),0)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IFERROR(__xludf.DUMMYFUNCTION("IMPORTRANGE(""https://docs.google.com/spreadsheets/d/1XWAQStnk-4SwqDmLtmXYiTMKHgktTP8We1SCoS47DrQ/edit?usp=sharing"",""จัดที่ดิน!BG71"")"),0)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IFERROR(__xludf.DUMMYFUNCTION("IMPORTRANGE(""https://docs.google.com/spreadsheets/d/1QqKyyYR6Q21VydFLVH3TRQUabQu_ym0Zz7PgGX0-kHA/edit?usp=sharing"",""แผน!II71"")"),0)</f>
        <v>0</v>
      </c>
      <c r="J720" s="37">
        <f ca="1">IFERROR(__xludf.DUMMYFUNCTION("IMPORTRANGE(""https://docs.google.com/spreadsheets/d/1XWAQStnk-4SwqDmLtmXYiTMKHgktTP8We1SCoS47DrQ/edit?usp=sharing"",""จัดที่ดิน!BH71"")"),0)</f>
        <v>0</v>
      </c>
      <c r="K720" s="38">
        <f t="shared" ref="K720:K723" ca="1" si="290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IFERROR(__xludf.DUMMYFUNCTION("IMPORTRANGE(""https://docs.google.com/spreadsheets/d/1QqKyyYR6Q21VydFLVH3TRQUabQu_ym0Zz7PgGX0-kHA/edit?usp=sharing"",""แผน!IJ71"")"),1)</f>
        <v>1</v>
      </c>
      <c r="J721" s="190">
        <f ca="1">J723+J726</f>
        <v>0</v>
      </c>
      <c r="K721" s="191">
        <f t="shared" ca="1" si="290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IFERROR(__xludf.DUMMYFUNCTION("IMPORTRANGE(""https://docs.google.com/spreadsheets/d/1QqKyyYR6Q21VydFLVH3TRQUabQu_ym0Zz7PgGX0-kHA/edit?usp=sharing"",""แผน!IK71"")"),15)</f>
        <v>15</v>
      </c>
      <c r="J722" s="190">
        <f ca="1">J725+J728</f>
        <v>0</v>
      </c>
      <c r="K722" s="191">
        <f t="shared" ca="1" si="290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IFERROR(__xludf.DUMMYFUNCTION("IMPORTRANGE(""https://docs.google.com/spreadsheets/d/1QqKyyYR6Q21VydFLVH3TRQUabQu_ym0Zz7PgGX0-kHA/edit?usp=sharing"",""แผน!IL71"")"),1)</f>
        <v>1</v>
      </c>
      <c r="J723" s="37">
        <f ca="1">IFERROR(__xludf.DUMMYFUNCTION("IMPORTRANGE(""https://docs.google.com/spreadsheets/d/1XWAQStnk-4SwqDmLtmXYiTMKHgktTP8We1SCoS47DrQ/edit?usp=sharing"",""จัดที่ดิน!BM71"")"),0)</f>
        <v>0</v>
      </c>
      <c r="K723" s="38">
        <f t="shared" ca="1" si="290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IFERROR(__xludf.DUMMYFUNCTION("IMPORTRANGE(""https://docs.google.com/spreadsheets/d/1XWAQStnk-4SwqDmLtmXYiTMKHgktTP8We1SCoS47DrQ/edit?usp=sharing"",""จัดที่ดิน!BN71"")"),0)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IFERROR(__xludf.DUMMYFUNCTION("IMPORTRANGE(""https://docs.google.com/spreadsheets/d/1QqKyyYR6Q21VydFLVH3TRQUabQu_ym0Zz7PgGX0-kHA/edit?usp=sharing"",""แผน!IM71"")"),15)</f>
        <v>15</v>
      </c>
      <c r="J725" s="37">
        <f ca="1">IFERROR(__xludf.DUMMYFUNCTION("IMPORTRANGE(""https://docs.google.com/spreadsheets/d/1XWAQStnk-4SwqDmLtmXYiTMKHgktTP8We1SCoS47DrQ/edit?usp=sharing"",""จัดที่ดิน!BO71"")"),0)</f>
        <v>0</v>
      </c>
      <c r="K725" s="38">
        <f t="shared" ref="K725:K726" ca="1" si="291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IFERROR(__xludf.DUMMYFUNCTION("IMPORTRANGE(""https://docs.google.com/spreadsheets/d/1QqKyyYR6Q21VydFLVH3TRQUabQu_ym0Zz7PgGX0-kHA/edit?usp=sharing"",""แผน!IN71"")"),0)</f>
        <v>0</v>
      </c>
      <c r="J726" s="37">
        <f ca="1">IFERROR(__xludf.DUMMYFUNCTION("IMPORTRANGE(""https://docs.google.com/spreadsheets/d/1XWAQStnk-4SwqDmLtmXYiTMKHgktTP8We1SCoS47DrQ/edit?usp=sharing"",""จัดที่ดิน!BR71"")"),0)</f>
        <v>0</v>
      </c>
      <c r="K726" s="38">
        <f t="shared" ca="1" si="291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IFERROR(__xludf.DUMMYFUNCTION("IMPORTRANGE(""https://docs.google.com/spreadsheets/d/1XWAQStnk-4SwqDmLtmXYiTMKHgktTP8We1SCoS47DrQ/edit?usp=sharing"",""จัดที่ดิน!BS71"")"),0)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IFERROR(__xludf.DUMMYFUNCTION("IMPORTRANGE(""https://docs.google.com/spreadsheets/d/1QqKyyYR6Q21VydFLVH3TRQUabQu_ym0Zz7PgGX0-kHA/edit?usp=sharing"",""แผน!IO71"")"),0)</f>
        <v>0</v>
      </c>
      <c r="J728" s="37">
        <f ca="1">IFERROR(__xludf.DUMMYFUNCTION("IMPORTRANGE(""https://docs.google.com/spreadsheets/d/1XWAQStnk-4SwqDmLtmXYiTMKHgktTP8We1SCoS47DrQ/edit?usp=sharing"",""จัดที่ดิน!BT71"")"),0)</f>
        <v>0</v>
      </c>
      <c r="K728" s="38">
        <f t="shared" ref="K728:K729" ca="1" si="292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IFERROR(__xludf.DUMMYFUNCTION("IMPORTRANGE(""https://docs.google.com/spreadsheets/d/1QqKyyYR6Q21VydFLVH3TRQUabQu_ym0Zz7PgGX0-kHA/edit?usp=sharing"",""แผน!IP71"")"),0)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3">L738+L739</f>
        <v>0</v>
      </c>
      <c r="M737" s="598">
        <f t="shared" si="293"/>
        <v>0</v>
      </c>
      <c r="N737" s="598">
        <f t="shared" si="293"/>
        <v>0</v>
      </c>
      <c r="O737" s="598">
        <f t="shared" ref="O737:O742" si="294">IF(L737&gt;0,N737*100/L737,0)</f>
        <v>0</v>
      </c>
      <c r="P737" s="598">
        <f t="shared" ref="P737:P742" si="295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7">L741+L742</f>
        <v>0</v>
      </c>
      <c r="M740" s="598">
        <f t="shared" si="297"/>
        <v>0</v>
      </c>
      <c r="N740" s="598">
        <f t="shared" si="297"/>
        <v>0</v>
      </c>
      <c r="O740" s="598">
        <f t="shared" si="294"/>
        <v>0</v>
      </c>
      <c r="P740" s="598">
        <f t="shared" si="295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8">L748+L749</f>
        <v>0</v>
      </c>
      <c r="M747" s="598">
        <f t="shared" si="298"/>
        <v>0</v>
      </c>
      <c r="N747" s="598">
        <f t="shared" si="298"/>
        <v>0</v>
      </c>
      <c r="O747" s="598">
        <f t="shared" ref="O747:O749" si="299">IF(L747&gt;0,N747*100/L747,0)</f>
        <v>0</v>
      </c>
      <c r="P747" s="598">
        <f t="shared" ref="P747:P749" si="300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1">L755+L756</f>
        <v>0</v>
      </c>
      <c r="M754" s="598">
        <f t="shared" si="301"/>
        <v>0</v>
      </c>
      <c r="N754" s="598">
        <f t="shared" si="301"/>
        <v>0</v>
      </c>
      <c r="O754" s="598">
        <f t="shared" ref="O754:O759" si="302">IF(L754&gt;0,N754*100/L754,0)</f>
        <v>0</v>
      </c>
      <c r="P754" s="598">
        <f t="shared" ref="P754:P759" si="303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5">L758+L759</f>
        <v>0</v>
      </c>
      <c r="M757" s="598">
        <f t="shared" si="305"/>
        <v>0</v>
      </c>
      <c r="N757" s="598">
        <f t="shared" si="305"/>
        <v>0</v>
      </c>
      <c r="O757" s="598">
        <f t="shared" si="302"/>
        <v>0</v>
      </c>
      <c r="P757" s="598">
        <f t="shared" si="303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6">L765+L766</f>
        <v>0</v>
      </c>
      <c r="M764" s="598">
        <f t="shared" si="306"/>
        <v>0</v>
      </c>
      <c r="N764" s="598">
        <f t="shared" si="306"/>
        <v>0</v>
      </c>
      <c r="O764" s="598">
        <f t="shared" ref="O764:O766" si="307">IF(L764&gt;0,N764*100/L764,0)</f>
        <v>0</v>
      </c>
      <c r="P764" s="598">
        <f t="shared" ref="P764:P766" si="308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09">L771+L772</f>
        <v>0</v>
      </c>
      <c r="M770" s="598">
        <f t="shared" si="309"/>
        <v>0</v>
      </c>
      <c r="N770" s="598">
        <f t="shared" si="309"/>
        <v>0</v>
      </c>
      <c r="O770" s="598">
        <f t="shared" ref="O770:O775" si="310">IF(L770&gt;0,N770*100/L770,0)</f>
        <v>0</v>
      </c>
      <c r="P770" s="598">
        <f t="shared" ref="P770:P775" si="311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3">L774+L775</f>
        <v>0</v>
      </c>
      <c r="M773" s="598">
        <f t="shared" si="313"/>
        <v>0</v>
      </c>
      <c r="N773" s="598">
        <f t="shared" si="313"/>
        <v>0</v>
      </c>
      <c r="O773" s="598">
        <f t="shared" si="310"/>
        <v>0</v>
      </c>
      <c r="P773" s="598">
        <f t="shared" si="311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4">L781+L782</f>
        <v>0</v>
      </c>
      <c r="M780" s="598">
        <f t="shared" si="314"/>
        <v>0</v>
      </c>
      <c r="N780" s="598">
        <f t="shared" si="314"/>
        <v>0</v>
      </c>
      <c r="O780" s="598">
        <f t="shared" ref="O780:O782" si="315">IF(L780&gt;0,N780*100/L780,0)</f>
        <v>0</v>
      </c>
      <c r="P780" s="598">
        <f t="shared" ref="P780:P782" si="316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7">I800</f>
        <v>0</v>
      </c>
      <c r="J785" s="825">
        <f t="shared" ca="1" si="317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IFERROR(__xludf.DUMMYFUNCTION("IMPORTRANGE(""https://docs.google.com/spreadsheets/d/1QqKyyYR6Q21VydFLVH3TRQUabQu_ym0Zz7PgGX0-kHA/edit?usp=sharing"",""แผน!JJ71"")"),0)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IFERROR(__xludf.DUMMYFUNCTION("IMPORTRANGE(""https://docs.google.com/spreadsheets/d/1QqKyyYR6Q21VydFLVH3TRQUabQu_ym0Zz7PgGX0-kHA/edit?usp=sharing"",""แผน!JN71"")"),0)</f>
        <v>0</v>
      </c>
      <c r="J800" s="161">
        <f ca="1">IFERROR(__xludf.DUMMYFUNCTION("IMPORTRANGE(""https://docs.google.com/spreadsheets/d/1MaWodYyGHDf7siQLGxnXhG4mBNTNIuy296niS2xXulU/edit?usp=sharing"",""RTK!H71"")"),0)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IFERROR(__xludf.DUMMYFUNCTION("IMPORTRANGE(""https://docs.google.com/spreadsheets/d/1MaWodYyGHDf7siQLGxnXhG4mBNTNIuy296niS2xXulU/edit?usp=sharing"",""RTK!I71"")"),0)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6">L806+L807</f>
        <v>0</v>
      </c>
      <c r="M805" s="598">
        <f t="shared" si="326"/>
        <v>0</v>
      </c>
      <c r="N805" s="598">
        <f t="shared" si="326"/>
        <v>0</v>
      </c>
      <c r="O805" s="598">
        <f t="shared" ref="O805:O810" si="327">IF(L805&gt;0,N805*100/L805,0)</f>
        <v>0</v>
      </c>
      <c r="P805" s="598">
        <f t="shared" ref="P805:P810" si="328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0">L809+L810</f>
        <v>0</v>
      </c>
      <c r="M808" s="598">
        <f t="shared" si="330"/>
        <v>0</v>
      </c>
      <c r="N808" s="598">
        <f t="shared" si="330"/>
        <v>0</v>
      </c>
      <c r="O808" s="598">
        <f t="shared" si="327"/>
        <v>0</v>
      </c>
      <c r="P808" s="598">
        <f t="shared" si="328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1">L816+L817</f>
        <v>0</v>
      </c>
      <c r="M815" s="598">
        <f t="shared" si="331"/>
        <v>0</v>
      </c>
      <c r="N815" s="598">
        <f t="shared" si="331"/>
        <v>0</v>
      </c>
      <c r="O815" s="598">
        <f t="shared" ref="O815:O817" si="332">IF(L815&gt;0,N815*100/L815,0)</f>
        <v>0</v>
      </c>
      <c r="P815" s="598">
        <f t="shared" ref="P815:P817" si="333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IFERROR(__xludf.DUMMYFUNCTION("IMPORTRANGE(""https://docs.google.com/spreadsheets/d/19vJNZY_5yjcGF2XGBMNZRCAIB0Kwfpjp8YEOfu-bneM/edit?usp=sharing"",""งานกองทุน!D71"")"),580000)</f>
        <v>580000</v>
      </c>
      <c r="J821" s="37">
        <f ca="1">IFERROR(__xludf.DUMMYFUNCTION("IMPORTRANGE(""https://docs.google.com/spreadsheets/d/19vJNZY_5yjcGF2XGBMNZRCAIB0Kwfpjp8YEOfu-bneM/edit?usp=sharing"",""งานกองทุน!F71"")"),580000)</f>
        <v>580000</v>
      </c>
      <c r="K821" s="38">
        <f t="shared" ref="K821:K828" ca="1" si="334">IF(I821&gt;0,J821*100/I821,0)</f>
        <v>100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IFERROR(__xludf.DUMMYFUNCTION("IMPORTRANGE(""https://docs.google.com/spreadsheets/d/19vJNZY_5yjcGF2XGBMNZRCAIB0Kwfpjp8YEOfu-bneM/edit?usp=sharing"",""งานกองทุน!C71"")"),20)</f>
        <v>20</v>
      </c>
      <c r="J822" s="37">
        <f ca="1">IFERROR(__xludf.DUMMYFUNCTION("IMPORTRANGE(""https://docs.google.com/spreadsheets/d/19vJNZY_5yjcGF2XGBMNZRCAIB0Kwfpjp8YEOfu-bneM/edit?usp=sharing"",""งานกองทุน!E71"")"),20)</f>
        <v>20</v>
      </c>
      <c r="K822" s="38">
        <f t="shared" ca="1" si="334"/>
        <v>100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IFERROR(__xludf.DUMMYFUNCTION("IMPORTRANGE(""https://docs.google.com/spreadsheets/d/19vJNZY_5yjcGF2XGBMNZRCAIB0Kwfpjp8YEOfu-bneM/edit?usp=sharing"",""งานกองทุน!I71"")"),0)</f>
        <v>0</v>
      </c>
      <c r="J823" s="37">
        <f ca="1">IFERROR(__xludf.DUMMYFUNCTION("IMPORTRANGE(""https://docs.google.com/spreadsheets/d/19vJNZY_5yjcGF2XGBMNZRCAIB0Kwfpjp8YEOfu-bneM/edit?usp=sharing"",""งานกองทุน!K71"")"),0)</f>
        <v>0</v>
      </c>
      <c r="K823" s="38">
        <f t="shared" ca="1" si="334"/>
        <v>0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IFERROR(__xludf.DUMMYFUNCTION("IMPORTRANGE(""https://docs.google.com/spreadsheets/d/19vJNZY_5yjcGF2XGBMNZRCAIB0Kwfpjp8YEOfu-bneM/edit?usp=sharing"",""งานกองทุน!H71"")"),0)</f>
        <v>0</v>
      </c>
      <c r="J824" s="37">
        <f ca="1">IFERROR(__xludf.DUMMYFUNCTION("IMPORTRANGE(""https://docs.google.com/spreadsheets/d/19vJNZY_5yjcGF2XGBMNZRCAIB0Kwfpjp8YEOfu-bneM/edit?usp=sharing"",""งานกองทุน!J71"")"),0)</f>
        <v>0</v>
      </c>
      <c r="K824" s="38">
        <f t="shared" ca="1" si="334"/>
        <v>0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37">
        <f ca="1">IFERROR(__xludf.DUMMYFUNCTION("IMPORTRANGE(""https://docs.google.com/spreadsheets/d/19vJNZY_5yjcGF2XGBMNZRCAIB0Kwfpjp8YEOfu-bneM/edit?usp=sharing"",""งานกองทุน!P71"")"),46646.31)</f>
        <v>46646.31</v>
      </c>
      <c r="K825" s="38">
        <f t="shared" ca="1" si="334"/>
        <v>66.80937169731142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IFERROR(__xludf.DUMMYFUNCTION("IMPORTRANGE(""https://docs.google.com/spreadsheets/d/19vJNZY_5yjcGF2XGBMNZRCAIB0Kwfpjp8YEOfu-bneM/edit?usp=sharing"",""งานกองทุน!M71"")"),24)</f>
        <v>24</v>
      </c>
      <c r="J826" s="37">
        <f ca="1">IFERROR(__xludf.DUMMYFUNCTION("IMPORTRANGE(""https://docs.google.com/spreadsheets/d/19vJNZY_5yjcGF2XGBMNZRCAIB0Kwfpjp8YEOfu-bneM/edit?usp=sharing"",""งานกองทุน!O71"")"),25)</f>
        <v>25</v>
      </c>
      <c r="K826" s="38">
        <f t="shared" ca="1" si="334"/>
        <v>104.16666666666667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IFERROR(__xludf.DUMMYFUNCTION("IMPORTRANGE(""https://docs.google.com/spreadsheets/d/19vJNZY_5yjcGF2XGBMNZRCAIB0Kwfpjp8YEOfu-bneM/edit?usp=sharing"",""งานกองทุน!S71"")"),560000)</f>
        <v>560000</v>
      </c>
      <c r="J827" s="37">
        <f ca="1">IFERROR(__xludf.DUMMYFUNCTION("IMPORTRANGE(""https://docs.google.com/spreadsheets/d/19vJNZY_5yjcGF2XGBMNZRCAIB0Kwfpjp8YEOfu-bneM/edit?usp=sharing"",""งานกองทุน!U71"")"),560000)</f>
        <v>560000</v>
      </c>
      <c r="K827" s="38">
        <f t="shared" ca="1" si="334"/>
        <v>100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IFERROR(__xludf.DUMMYFUNCTION("IMPORTRANGE(""https://docs.google.com/spreadsheets/d/19vJNZY_5yjcGF2XGBMNZRCAIB0Kwfpjp8YEOfu-bneM/edit?usp=sharing"",""งานกองทุน!R71"")"),19)</f>
        <v>19</v>
      </c>
      <c r="J828" s="365">
        <f ca="1">IFERROR(__xludf.DUMMYFUNCTION("IMPORTRANGE(""https://docs.google.com/spreadsheets/d/19vJNZY_5yjcGF2XGBMNZRCAIB0Kwfpjp8YEOfu-bneM/edit?usp=sharing"",""งานกองทุน!T71"")"),19)</f>
        <v>19</v>
      </c>
      <c r="K828" s="472">
        <f t="shared" ca="1" si="334"/>
        <v>100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1097A-F830-4AEB-A014-304BE6F8FC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360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6735745.1899999995</v>
      </c>
      <c r="N8" s="22">
        <f t="shared" ca="1" si="0"/>
        <v>5936393.3200000003</v>
      </c>
      <c r="O8" s="22">
        <f t="shared" ref="O8:O16" ca="1" si="1">IF(L8&gt;0,N8*100/L8,0)</f>
        <v>94.462101661601764</v>
      </c>
      <c r="P8" s="22">
        <f t="shared" ref="P8:P16" ca="1" si="2">IF(M8&gt;0,N8*100/M8,0)</f>
        <v>88.13268840414672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6735745.1899999995</v>
      </c>
      <c r="N10" s="30">
        <f t="shared" ca="1" si="3"/>
        <v>5936393.3200000003</v>
      </c>
      <c r="O10" s="30">
        <f t="shared" ca="1" si="1"/>
        <v>94.462101661601764</v>
      </c>
      <c r="P10" s="30">
        <f t="shared" ca="1" si="2"/>
        <v>88.13268840414672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6000318</v>
      </c>
      <c r="M11" s="38">
        <f t="shared" ca="1" si="4"/>
        <v>6464245.1899999995</v>
      </c>
      <c r="N11" s="38">
        <f t="shared" ca="1" si="4"/>
        <v>5664893.3200000003</v>
      </c>
      <c r="O11" s="38">
        <f t="shared" ca="1" si="1"/>
        <v>94.409884942764705</v>
      </c>
      <c r="P11" s="38">
        <f t="shared" ca="1" si="2"/>
        <v>87.634258192486669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6000318</v>
      </c>
      <c r="M13" s="45">
        <f t="shared" ca="1" si="5"/>
        <v>6464245.1899999995</v>
      </c>
      <c r="N13" s="45">
        <f t="shared" ca="1" si="5"/>
        <v>5664893.3200000003</v>
      </c>
      <c r="O13" s="45">
        <f t="shared" ca="1" si="1"/>
        <v>94.409884942764705</v>
      </c>
      <c r="P13" s="45">
        <f t="shared" ca="1" si="2"/>
        <v>87.634258192486669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284100</v>
      </c>
      <c r="M14" s="38">
        <f t="shared" ca="1" si="6"/>
        <v>271500</v>
      </c>
      <c r="N14" s="38">
        <f t="shared" ca="1" si="6"/>
        <v>271500</v>
      </c>
      <c r="O14" s="38">
        <f t="shared" ca="1" si="1"/>
        <v>95.564941921858505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4982567.1899999995</v>
      </c>
      <c r="N18" s="22">
        <f t="shared" ca="1" si="8"/>
        <v>4301240.25</v>
      </c>
      <c r="O18" s="22">
        <f t="shared" ref="O18:O26" ca="1" si="9">IF(L18&gt;0,N18*100/L18,0)</f>
        <v>95.083400572546509</v>
      </c>
      <c r="P18" s="22">
        <f t="shared" ref="P18:P26" ca="1" si="10">IF(M18&gt;0,N18*100/M18,0)</f>
        <v>86.325785202306534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4982567.1899999995</v>
      </c>
      <c r="N20" s="30">
        <f t="shared" ca="1" si="11"/>
        <v>4301240.25</v>
      </c>
      <c r="O20" s="30">
        <f t="shared" ca="1" si="9"/>
        <v>95.083400572546509</v>
      </c>
      <c r="P20" s="30">
        <f t="shared" ca="1" si="10"/>
        <v>86.325785202306534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4239550</v>
      </c>
      <c r="M21" s="38">
        <f t="shared" ca="1" si="12"/>
        <v>4711067.1899999995</v>
      </c>
      <c r="N21" s="38">
        <f t="shared" ca="1" si="12"/>
        <v>4029740.25</v>
      </c>
      <c r="O21" s="38">
        <f t="shared" ca="1" si="9"/>
        <v>95.05113160594874</v>
      </c>
      <c r="P21" s="38">
        <f t="shared" ca="1" si="10"/>
        <v>85.537736726696963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4239550</v>
      </c>
      <c r="M23" s="45">
        <f t="shared" ca="1" si="13"/>
        <v>4711067.1899999995</v>
      </c>
      <c r="N23" s="45">
        <f t="shared" ca="1" si="13"/>
        <v>4029740.25</v>
      </c>
      <c r="O23" s="45">
        <f t="shared" ca="1" si="9"/>
        <v>95.05113160594874</v>
      </c>
      <c r="P23" s="45">
        <f t="shared" ca="1" si="10"/>
        <v>85.537736726696963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284100</v>
      </c>
      <c r="M24" s="38">
        <f t="shared" ca="1" si="14"/>
        <v>271500</v>
      </c>
      <c r="N24" s="38">
        <f t="shared" ca="1" si="14"/>
        <v>271500</v>
      </c>
      <c r="O24" s="38">
        <f t="shared" ca="1" si="9"/>
        <v>95.564941921858505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1635153.07</v>
      </c>
      <c r="O28" s="22">
        <f t="shared" ref="O28:O37" ca="1" si="17">IF(L28&gt;0,N28*100/L28,0)</f>
        <v>92.865901129507122</v>
      </c>
      <c r="P28" s="22">
        <f t="shared" ref="P28:P37" ca="1" si="18">IF(M28&gt;0,N28*100/M28,0)</f>
        <v>93.267943699955168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1635153.07</v>
      </c>
      <c r="O30" s="30">
        <f t="shared" ca="1" si="17"/>
        <v>92.865901129507122</v>
      </c>
      <c r="P30" s="30">
        <f t="shared" ca="1" si="18"/>
        <v>93.267943699955168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1760768</v>
      </c>
      <c r="M31" s="38">
        <f t="shared" ca="1" si="20"/>
        <v>1753178</v>
      </c>
      <c r="N31" s="38">
        <f t="shared" si="20"/>
        <v>1635153.07</v>
      </c>
      <c r="O31" s="38">
        <f t="shared" ca="1" si="17"/>
        <v>92.865901129507122</v>
      </c>
      <c r="P31" s="38">
        <f t="shared" ca="1" si="18"/>
        <v>93.267943699955168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1760768</v>
      </c>
      <c r="M33" s="45">
        <f t="shared" ca="1" si="21"/>
        <v>1753178</v>
      </c>
      <c r="N33" s="45">
        <f t="shared" si="21"/>
        <v>1635153.07</v>
      </c>
      <c r="O33" s="45">
        <f t="shared" ca="1" si="17"/>
        <v>92.865901129507122</v>
      </c>
      <c r="P33" s="45">
        <f t="shared" ca="1" si="18"/>
        <v>93.267943699955168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4982567.1899999995</v>
      </c>
      <c r="N37" s="59">
        <f t="shared" ca="1" si="24"/>
        <v>4301240.25</v>
      </c>
      <c r="O37" s="59">
        <f t="shared" ca="1" si="17"/>
        <v>95.083400572546509</v>
      </c>
      <c r="P37" s="59">
        <f t="shared" ca="1" si="18"/>
        <v>86.325785202306534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1085367.19</v>
      </c>
      <c r="N41" s="85">
        <f t="shared" ca="1" si="25"/>
        <v>899267.19</v>
      </c>
      <c r="O41" s="85">
        <f t="shared" ref="O41:O49" ca="1" si="26">IF(L41&gt;0,N41*100/L41,0)</f>
        <v>112.21902913832906</v>
      </c>
      <c r="P41" s="85">
        <f t="shared" ref="P41:P49" ca="1" si="27">IF(M41&gt;0,N41*100/M41,0)</f>
        <v>82.853728976273928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1085367.19</v>
      </c>
      <c r="N43" s="92">
        <f t="shared" ca="1" si="28"/>
        <v>899267.19</v>
      </c>
      <c r="O43" s="92">
        <f t="shared" ca="1" si="26"/>
        <v>112.21902913832906</v>
      </c>
      <c r="P43" s="92">
        <f t="shared" ca="1" si="27"/>
        <v>82.853728976273928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801350</v>
      </c>
      <c r="M44" s="38">
        <f t="shared" ca="1" si="29"/>
        <v>1085367.19</v>
      </c>
      <c r="N44" s="38">
        <f t="shared" ca="1" si="29"/>
        <v>899267.19</v>
      </c>
      <c r="O44" s="38">
        <f t="shared" ca="1" si="26"/>
        <v>112.21902913832906</v>
      </c>
      <c r="P44" s="38">
        <f t="shared" ca="1" si="27"/>
        <v>82.853728976273928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IFERROR(__xludf.DUMMYFUNCTION("IMPORTRANGE(""https://docs.google.com/spreadsheets/d/1MeEWN-I1oV_STSDYn1IFDPWt_1FKiwhDph83XaGc0o0/edit?usp=sharing"",""งบพรบ!M72"")"),801350)</f>
        <v>801350</v>
      </c>
      <c r="M46" s="45">
        <f ca="1">IFERROR(__xludf.DUMMYFUNCTION("IMPORTRANGE(""https://docs.google.com/spreadsheets/d/1MeEWN-I1oV_STSDYn1IFDPWt_1FKiwhDph83XaGc0o0/edit?usp=sharing"",""งบพรบ!R72"")"),1085367.19)</f>
        <v>1085367.19</v>
      </c>
      <c r="N46" s="45">
        <f ca="1">IFERROR(__xludf.DUMMYFUNCTION("IMPORTRANGE(""https://docs.google.com/spreadsheets/d/1MeEWN-I1oV_STSDYn1IFDPWt_1FKiwhDph83XaGc0o0/edit?usp=sharing"",""งบพรบ!T72"")"),899267.19)</f>
        <v>899267.19</v>
      </c>
      <c r="O46" s="45">
        <f t="shared" ca="1" si="26"/>
        <v>112.21902913832906</v>
      </c>
      <c r="P46" s="45">
        <f t="shared" ca="1" si="27"/>
        <v>82.853728976273928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993400</v>
      </c>
      <c r="M53" s="115">
        <f t="shared" ca="1" si="31"/>
        <v>991700</v>
      </c>
      <c r="N53" s="115">
        <f t="shared" ca="1" si="31"/>
        <v>897697.44</v>
      </c>
      <c r="O53" s="115">
        <f t="shared" ref="O53:O61" ca="1" si="32">IF(L53&gt;0,N53*100/L53,0)</f>
        <v>90.366160660358361</v>
      </c>
      <c r="P53" s="115">
        <f t="shared" ref="P53:P61" ca="1" si="33">IF(M53&gt;0,N53*100/M53,0)</f>
        <v>90.521068871634569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993400</v>
      </c>
      <c r="M55" s="122">
        <f t="shared" ca="1" si="34"/>
        <v>991700</v>
      </c>
      <c r="N55" s="122">
        <f t="shared" ca="1" si="34"/>
        <v>897697.44</v>
      </c>
      <c r="O55" s="122">
        <f t="shared" ca="1" si="32"/>
        <v>90.366160660358361</v>
      </c>
      <c r="P55" s="122">
        <f t="shared" ca="1" si="33"/>
        <v>90.521068871634569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852900</v>
      </c>
      <c r="M56" s="38">
        <f t="shared" ca="1" si="35"/>
        <v>863800</v>
      </c>
      <c r="N56" s="38">
        <f t="shared" ca="1" si="35"/>
        <v>769797.44</v>
      </c>
      <c r="O56" s="38">
        <f t="shared" ca="1" si="32"/>
        <v>90.256470864110682</v>
      </c>
      <c r="P56" s="38">
        <f t="shared" ca="1" si="33"/>
        <v>89.117554989580924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IFERROR(__xludf.DUMMYFUNCTION("IMPORTRANGE(""https://docs.google.com/spreadsheets/d/1MeEWN-I1oV_STSDYn1IFDPWt_1FKiwhDph83XaGc0o0/edit?usp=sharing"",""งบพรบ!W72"")"),852900)</f>
        <v>852900</v>
      </c>
      <c r="M58" s="45">
        <f ca="1">IFERROR(__xludf.DUMMYFUNCTION("IMPORTRANGE(""https://docs.google.com/spreadsheets/d/1MeEWN-I1oV_STSDYn1IFDPWt_1FKiwhDph83XaGc0o0/edit?usp=sharing"",""งบพรบ!AB72"")"),863800)</f>
        <v>863800</v>
      </c>
      <c r="N58" s="45">
        <f ca="1">IFERROR(__xludf.DUMMYFUNCTION("IMPORTRANGE(""https://docs.google.com/spreadsheets/d/1MeEWN-I1oV_STSDYn1IFDPWt_1FKiwhDph83XaGc0o0/edit?usp=sharing"",""งบพรบ!AD72"")"),769797.44)</f>
        <v>769797.44</v>
      </c>
      <c r="O58" s="45">
        <f t="shared" ca="1" si="32"/>
        <v>90.256470864110682</v>
      </c>
      <c r="P58" s="45">
        <f t="shared" ca="1" si="33"/>
        <v>89.117554989580924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140500</v>
      </c>
      <c r="M59" s="38">
        <f t="shared" ca="1" si="36"/>
        <v>127900</v>
      </c>
      <c r="N59" s="38">
        <f t="shared" ca="1" si="36"/>
        <v>127900</v>
      </c>
      <c r="O59" s="38">
        <f t="shared" ca="1" si="32"/>
        <v>91.032028469750884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94</v>
      </c>
      <c r="J65" s="143">
        <f t="shared" si="37"/>
        <v>94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1114000</v>
      </c>
      <c r="M66" s="154">
        <f t="shared" ca="1" si="39"/>
        <v>1114000</v>
      </c>
      <c r="N66" s="154">
        <f t="shared" ca="1" si="39"/>
        <v>1008239.76</v>
      </c>
      <c r="O66" s="154">
        <f t="shared" ref="O66:O74" ca="1" si="40">IF(L66&gt;0,N66*100/L66,0)</f>
        <v>90.506262118491918</v>
      </c>
      <c r="P66" s="154">
        <f t="shared" ref="P66:P74" ca="1" si="41">IF(M66&gt;0,N66*100/M66,0)</f>
        <v>90.506262118491918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1114000</v>
      </c>
      <c r="M68" s="45">
        <f t="shared" ca="1" si="42"/>
        <v>1114000</v>
      </c>
      <c r="N68" s="45">
        <f t="shared" ca="1" si="42"/>
        <v>1008239.76</v>
      </c>
      <c r="O68" s="45">
        <f t="shared" ca="1" si="40"/>
        <v>90.506262118491918</v>
      </c>
      <c r="P68" s="45">
        <f t="shared" ca="1" si="41"/>
        <v>90.506262118491918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1114000</v>
      </c>
      <c r="M69" s="38">
        <f t="shared" ca="1" si="43"/>
        <v>1114000</v>
      </c>
      <c r="N69" s="38">
        <f t="shared" ca="1" si="43"/>
        <v>1008239.76</v>
      </c>
      <c r="O69" s="38">
        <f t="shared" ca="1" si="40"/>
        <v>90.506262118491918</v>
      </c>
      <c r="P69" s="38">
        <f t="shared" ca="1" si="41"/>
        <v>90.506262118491918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IFERROR(__xludf.DUMMYFUNCTION("IMPORTRANGE(""https://docs.google.com/spreadsheets/d/1MeEWN-I1oV_STSDYn1IFDPWt_1FKiwhDph83XaGc0o0/edit?usp=sharing"",""งบพรบ!AG72"")"),1114000)</f>
        <v>1114000</v>
      </c>
      <c r="M71" s="45">
        <f ca="1">IFERROR(__xludf.DUMMYFUNCTION("IMPORTRANGE(""https://docs.google.com/spreadsheets/d/1MeEWN-I1oV_STSDYn1IFDPWt_1FKiwhDph83XaGc0o0/edit?usp=sharing"",""งบพรบ!AL72"")"),1114000)</f>
        <v>1114000</v>
      </c>
      <c r="N71" s="45">
        <f ca="1">IFERROR(__xludf.DUMMYFUNCTION("IMPORTRANGE(""https://docs.google.com/spreadsheets/d/1MeEWN-I1oV_STSDYn1IFDPWt_1FKiwhDph83XaGc0o0/edit?usp=sharing"",""งบพรบ!AN72"")"),1008239.76)</f>
        <v>1008239.76</v>
      </c>
      <c r="O71" s="45">
        <f t="shared" ca="1" si="40"/>
        <v>90.506262118491918</v>
      </c>
      <c r="P71" s="45">
        <f t="shared" ca="1" si="41"/>
        <v>90.506262118491918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IFERROR(__xludf.DUMMYFUNCTION("IMPORTRANGE(""https://docs.google.com/spreadsheets/d/1MeEWN-I1oV_STSDYn1IFDPWt_1FKiwhDph83XaGc0o0/edit?usp=sharing"",""งบพรบ!AJ72"")"),0)</f>
        <v>0</v>
      </c>
      <c r="M74" s="45">
        <f ca="1">IFERROR(__xludf.DUMMYFUNCTION("IMPORTRANGE(""https://docs.google.com/spreadsheets/d/1MeEWN-I1oV_STSDYn1IFDPWt_1FKiwhDph83XaGc0o0/edit?usp=sharing"",""งบพรบ!AM72"")"),0)</f>
        <v>0</v>
      </c>
      <c r="N74" s="45">
        <f ca="1">IFERROR(__xludf.DUMMYFUNCTION("IMPORTRANGE(""https://docs.google.com/spreadsheets/d/1MeEWN-I1oV_STSDYn1IFDPWt_1FKiwhDph83XaGc0o0/edit?usp=sharing"",""งบพรบ!AO72"")"),0)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94</v>
      </c>
      <c r="J77" s="37">
        <f t="shared" si="45"/>
        <v>94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IFERROR(__xludf.DUMMYFUNCTION("IMPORTRANGE(""https://docs.google.com/spreadsheets/d/1QqKyyYR6Q21VydFLVH3TRQUabQu_ym0Zz7PgGX0-kHA/edit?usp=sharing"",""แผน!H72"")"),2)</f>
        <v>2</v>
      </c>
      <c r="J78" s="181">
        <v>2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IFERROR(__xludf.DUMMYFUNCTION("IMPORTRANGE(""https://docs.google.com/spreadsheets/d/1QqKyyYR6Q21VydFLVH3TRQUabQu_ym0Zz7PgGX0-kHA/edit?usp=sharing"",""แผน!I72"")"),94)</f>
        <v>94</v>
      </c>
      <c r="J79" s="181">
        <v>94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IFERROR(__xludf.DUMMYFUNCTION("IMPORTRANGE(""https://docs.google.com/spreadsheets/d/1QqKyyYR6Q21VydFLVH3TRQUabQu_ym0Zz7PgGX0-kHA/edit?usp=sharing"",""แผน!F72"")"),0)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IFERROR(__xludf.DUMMYFUNCTION("IMPORTRANGE(""https://docs.google.com/spreadsheets/d/1QqKyyYR6Q21VydFLVH3TRQUabQu_ym0Zz7PgGX0-kHA/edit?usp=sharing"",""แผน!G72"")"),0)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IFERROR(__xludf.DUMMYFUNCTION("IMPORTRANGE(""https://docs.google.com/spreadsheets/d/1QqKyyYR6Q21VydFLVH3TRQUabQu_ym0Zz7PgGX0-kHA/edit?usp=sharing"",""แผน!D72"")"),0)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IFERROR(__xludf.DUMMYFUNCTION("IMPORTRANGE(""https://docs.google.com/spreadsheets/d/1QqKyyYR6Q21VydFLVH3TRQUabQu_ym0Zz7PgGX0-kHA/edit?usp=sharing"",""แผน!E72"")"),0)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IFERROR(__xludf.DUMMYFUNCTION("IMPORTRANGE(""https://docs.google.com/spreadsheets/d/1QqKyyYR6Q21VydFLVH3TRQUabQu_ym0Zz7PgGX0-kHA/edit?usp=sharing"",""แผน!J72"")"),2)</f>
        <v>2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116140</v>
      </c>
      <c r="M88" s="154">
        <f t="shared" ca="1" si="49"/>
        <v>116140</v>
      </c>
      <c r="N88" s="154">
        <f t="shared" ca="1" si="49"/>
        <v>93950</v>
      </c>
      <c r="O88" s="154">
        <f t="shared" ref="O88:O96" ca="1" si="50">IF(L88&gt;0,N88*100/L88,0)</f>
        <v>80.893748923712764</v>
      </c>
      <c r="P88" s="154">
        <f t="shared" ref="P88:P96" ca="1" si="51">IF(M88&gt;0,N88*100/M88,0)</f>
        <v>80.893748923712764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116140</v>
      </c>
      <c r="M90" s="45">
        <f t="shared" ca="1" si="52"/>
        <v>116140</v>
      </c>
      <c r="N90" s="45">
        <f t="shared" ca="1" si="52"/>
        <v>93950</v>
      </c>
      <c r="O90" s="45">
        <f t="shared" ca="1" si="50"/>
        <v>80.893748923712764</v>
      </c>
      <c r="P90" s="45">
        <f t="shared" ca="1" si="51"/>
        <v>80.893748923712764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116140</v>
      </c>
      <c r="M91" s="38">
        <f t="shared" ca="1" si="53"/>
        <v>116140</v>
      </c>
      <c r="N91" s="38">
        <f t="shared" ca="1" si="53"/>
        <v>93950</v>
      </c>
      <c r="O91" s="38">
        <f t="shared" ca="1" si="50"/>
        <v>80.893748923712764</v>
      </c>
      <c r="P91" s="38">
        <f t="shared" ca="1" si="51"/>
        <v>80.893748923712764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IFERROR(__xludf.DUMMYFUNCTION("IMPORTRANGE(""https://docs.google.com/spreadsheets/d/1MeEWN-I1oV_STSDYn1IFDPWt_1FKiwhDph83XaGc0o0/edit?usp=sharing"",""งบพรบ!AQ72"")"),116140)</f>
        <v>116140</v>
      </c>
      <c r="M93" s="45">
        <f ca="1">IFERROR(__xludf.DUMMYFUNCTION("IMPORTRANGE(""https://docs.google.com/spreadsheets/d/1MeEWN-I1oV_STSDYn1IFDPWt_1FKiwhDph83XaGc0o0/edit?usp=sharing"",""งบพรบ!AV72"")"),116140)</f>
        <v>116140</v>
      </c>
      <c r="N93" s="45">
        <f ca="1">IFERROR(__xludf.DUMMYFUNCTION("IMPORTRANGE(""https://docs.google.com/spreadsheets/d/1MeEWN-I1oV_STSDYn1IFDPWt_1FKiwhDph83XaGc0o0/edit?usp=sharing"",""งบพรบ!AX72"")"),93950)</f>
        <v>93950</v>
      </c>
      <c r="O93" s="45">
        <f t="shared" ca="1" si="50"/>
        <v>80.893748923712764</v>
      </c>
      <c r="P93" s="45">
        <f t="shared" ca="1" si="51"/>
        <v>80.893748923712764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IFERROR(__xludf.DUMMYFUNCTION("IMPORTRANGE(""https://docs.google.com/spreadsheets/d/1MeEWN-I1oV_STSDYn1IFDPWt_1FKiwhDph83XaGc0o0/edit?usp=sharing"",""งบพรบ!AT72"")"),0)</f>
        <v>0</v>
      </c>
      <c r="M96" s="45">
        <f ca="1">IFERROR(__xludf.DUMMYFUNCTION("IMPORTRANGE(""https://docs.google.com/spreadsheets/d/1MeEWN-I1oV_STSDYn1IFDPWt_1FKiwhDph83XaGc0o0/edit?usp=sharing"",""งบพรบ!AW72"")"),0)</f>
        <v>0</v>
      </c>
      <c r="N96" s="45">
        <f ca="1">IFERROR(__xludf.DUMMYFUNCTION("IMPORTRANGE(""https://docs.google.com/spreadsheets/d/1MeEWN-I1oV_STSDYn1IFDPWt_1FKiwhDph83XaGc0o0/edit?usp=sharing"",""งบพรบ!AY72"")"),0)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IFERROR(__xludf.DUMMYFUNCTION("IMPORTRANGE(""https://docs.google.com/spreadsheets/d/1QqKyyYR6Q21VydFLVH3TRQUabQu_ym0Zz7PgGX0-kHA/edit?usp=sharing"",""แผน!K72"")"),30)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IFERROR(__xludf.DUMMYFUNCTION("IMPORTRANGE(""https://docs.google.com/spreadsheets/d/1QqKyyYR6Q21VydFLVH3TRQUabQu_ym0Zz7PgGX0-kHA/edit?usp=sharing"",""แผน!L72"")"),10)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IFERROR(__xludf.DUMMYFUNCTION("IMPORTRANGE(""https://docs.google.com/spreadsheets/d/1QqKyyYR6Q21VydFLVH3TRQUabQu_ym0Zz7PgGX0-kHA/edit?usp=sharing"",""แผน!M72"")"),3)</f>
        <v>3</v>
      </c>
      <c r="J100" s="37">
        <f>J107+J110</f>
        <v>2</v>
      </c>
      <c r="K100" s="38">
        <f t="shared" ca="1" si="55"/>
        <v>66.666666666666671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IFERROR(__xludf.DUMMYFUNCTION("IMPORTRANGE(""https://docs.google.com/spreadsheets/d/1QqKyyYR6Q21VydFLVH3TRQUabQu_ym0Zz7PgGX0-kHA/edit?usp=sharing"",""แผน!N72"")"),30)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IFERROR(__xludf.DUMMYFUNCTION("IMPORTRANGE(""https://docs.google.com/spreadsheets/d/1QqKyyYR6Q21VydFLVH3TRQUabQu_ym0Zz7PgGX0-kHA/edit?usp=sharing"",""แผน!O72"")"),10)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IFERROR(__xludf.DUMMYFUNCTION("IMPORTRANGE(""https://docs.google.com/spreadsheets/d/1QqKyyYR6Q21VydFLVH3TRQUabQu_ym0Zz7PgGX0-kHA/edit?usp=sharing"",""แผน!O72"")"),10)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IFERROR(__xludf.DUMMYFUNCTION("IMPORTRANGE(""https://docs.google.com/spreadsheets/d/1QqKyyYR6Q21VydFLVH3TRQUabQu_ym0Zz7PgGX0-kHA/edit?usp=sharing"",""แผน!P72"")"),2)</f>
        <v>2</v>
      </c>
      <c r="J106" s="181">
        <v>2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IFERROR(__xludf.DUMMYFUNCTION("IMPORTRANGE(""https://docs.google.com/spreadsheets/d/1QqKyyYR6Q21VydFLVH3TRQUabQu_ym0Zz7PgGX0-kHA/edit?usp=sharing"",""แผน!P72"")"),2)</f>
        <v>2</v>
      </c>
      <c r="J107" s="181">
        <v>2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IFERROR(__xludf.DUMMYFUNCTION("IMPORTRANGE(""https://docs.google.com/spreadsheets/d/1QqKyyYR6Q21VydFLVH3TRQUabQu_ym0Zz7PgGX0-kHA/edit?usp=sharing"",""แผน!Q72"")"),1)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IFERROR(__xludf.DUMMYFUNCTION("IMPORTRANGE(""https://docs.google.com/spreadsheets/d/1QqKyyYR6Q21VydFLVH3TRQUabQu_ym0Zz7PgGX0-kHA/edit?usp=sharing"",""แผน!Q72"")"),1)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IFERROR(__xludf.DUMMYFUNCTION("IMPORTRANGE(""https://docs.google.com/spreadsheets/d/1QqKyyYR6Q21VydFLVH3TRQUabQu_ym0Zz7PgGX0-kHA/edit?usp=sharing"",""แผน!R72"")"),10)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IFERROR(__xludf.DUMMYFUNCTION("IMPORTRANGE(""https://docs.google.com/spreadsheets/d/1QqKyyYR6Q21VydFLVH3TRQUabQu_ym0Zz7PgGX0-kHA/edit?usp=sharing"",""แผน!R72"")"),10)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IFERROR(__xludf.DUMMYFUNCTION("IMPORTRANGE(""https://docs.google.com/spreadsheets/d/1QqKyyYR6Q21VydFLVH3TRQUabQu_ym0Zz7PgGX0-kHA/edit?usp=sharing"",""แผน!R72"")"),10)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IFERROR(__xludf.DUMMYFUNCTION("IMPORTRANGE(""https://docs.google.com/spreadsheets/d/1QqKyyYR6Q21VydFLVH3TRQUabQu_ym0Zz7PgGX0-kHA/edit?usp=sharing"",""แผน!S72"")"),2)</f>
        <v>2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IFERROR(__xludf.DUMMYFUNCTION("IMPORTRANGE(""https://docs.google.com/spreadsheets/d/1QqKyyYR6Q21VydFLVH3TRQUabQu_ym0Zz7PgGX0-kHA/edit?usp=sharing"",""แผน!T72"")"),1)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IFERROR(__xludf.DUMMYFUNCTION("IMPORTRANGE(""https://docs.google.com/spreadsheets/d/1MeEWN-I1oV_STSDYn1IFDPWt_1FKiwhDph83XaGc0o0/edit?usp=sharing"",""งบพรบ!BA72"")"),0)</f>
        <v>0</v>
      </c>
      <c r="M124" s="45">
        <f ca="1">IFERROR(__xludf.DUMMYFUNCTION("IMPORTRANGE(""https://docs.google.com/spreadsheets/d/1MeEWN-I1oV_STSDYn1IFDPWt_1FKiwhDph83XaGc0o0/edit?usp=sharing"",""งบพรบ!BF72"")"),0)</f>
        <v>0</v>
      </c>
      <c r="N124" s="45">
        <f ca="1">IFERROR(__xludf.DUMMYFUNCTION("IMPORTRANGE(""https://docs.google.com/spreadsheets/d/1MeEWN-I1oV_STSDYn1IFDPWt_1FKiwhDph83XaGc0o0/edit?usp=sharing"",""งบพรบ!BH72"")"),0)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IFERROR(__xludf.DUMMYFUNCTION("IMPORTRANGE(""https://docs.google.com/spreadsheets/d/1MeEWN-I1oV_STSDYn1IFDPWt_1FKiwhDph83XaGc0o0/edit?usp=sharing"",""งบพรบ!BD72"")"),0)</f>
        <v>0</v>
      </c>
      <c r="M127" s="45">
        <f ca="1">IFERROR(__xludf.DUMMYFUNCTION("IMPORTRANGE(""https://docs.google.com/spreadsheets/d/1MeEWN-I1oV_STSDYn1IFDPWt_1FKiwhDph83XaGc0o0/edit?usp=sharing"",""งบพรบ!BG72"")"),0)</f>
        <v>0</v>
      </c>
      <c r="N127" s="45">
        <f ca="1">IFERROR(__xludf.DUMMYFUNCTION("IMPORTRANGE(""https://docs.google.com/spreadsheets/d/1MeEWN-I1oV_STSDYn1IFDPWt_1FKiwhDph83XaGc0o0/edit?usp=sharing"",""งบพรบ!BI72"")"),0)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IFERROR(__xludf.DUMMYFUNCTION("IMPORTRANGE(""https://docs.google.com/spreadsheets/d/1MeEWN-I1oV_STSDYn1IFDPWt_1FKiwhDph83XaGc0o0/edit?usp=sharing"",""งบพรบ!BK72"")"),0)</f>
        <v>0</v>
      </c>
      <c r="M137" s="45">
        <f ca="1">IFERROR(__xludf.DUMMYFUNCTION("IMPORTRANGE(""https://docs.google.com/spreadsheets/d/1MeEWN-I1oV_STSDYn1IFDPWt_1FKiwhDph83XaGc0o0/edit?usp=sharing"",""งบพรบ!BP72"")"),0)</f>
        <v>0</v>
      </c>
      <c r="N137" s="45">
        <f ca="1">IFERROR(__xludf.DUMMYFUNCTION("IMPORTRANGE(""https://docs.google.com/spreadsheets/d/1MeEWN-I1oV_STSDYn1IFDPWt_1FKiwhDph83XaGc0o0/edit?usp=sharing"",""งบพรบ!BR72"")"),0)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IFERROR(__xludf.DUMMYFUNCTION("IMPORTRANGE(""https://docs.google.com/spreadsheets/d/1MeEWN-I1oV_STSDYn1IFDPWt_1FKiwhDph83XaGc0o0/edit?usp=sharing"",""งบพรบ!BN72"")"),0)</f>
        <v>0</v>
      </c>
      <c r="M140" s="45">
        <f ca="1">IFERROR(__xludf.DUMMYFUNCTION("IMPORTRANGE(""https://docs.google.com/spreadsheets/d/1MeEWN-I1oV_STSDYn1IFDPWt_1FKiwhDph83XaGc0o0/edit?usp=sharing"",""งบพรบ!BQ72"")"),0)</f>
        <v>0</v>
      </c>
      <c r="N140" s="45">
        <f ca="1">IFERROR(__xludf.DUMMYFUNCTION("IMPORTRANGE(""https://docs.google.com/spreadsheets/d/1MeEWN-I1oV_STSDYn1IFDPWt_1FKiwhDph83XaGc0o0/edit?usp=sharing"",""งบพรบ!BS72"")"),0)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IFERROR(__xludf.DUMMYFUNCTION("IMPORTRANGE(""https://docs.google.com/spreadsheets/d/1QqKyyYR6Q21VydFLVH3TRQUabQu_ym0Zz7PgGX0-kHA/edit?usp=sharing"",""แผน!U72"")"),0)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IFERROR(__xludf.DUMMYFUNCTION("IMPORTRANGE(""https://docs.google.com/spreadsheets/d/1QqKyyYR6Q21VydFLVH3TRQUabQu_ym0Zz7PgGX0-kHA/edit?usp=sharing"",""แผน!V72"")"),0)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IFERROR(__xludf.DUMMYFUNCTION("IMPORTRANGE(""https://docs.google.com/spreadsheets/d/1QqKyyYR6Q21VydFLVH3TRQUabQu_ym0Zz7PgGX0-kHA/edit?usp=sharing"",""แผน!W72"")"),0)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15</v>
      </c>
      <c r="J148" s="143">
        <f t="shared" si="76"/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7500</v>
      </c>
      <c r="M149" s="154">
        <f t="shared" ca="1" si="77"/>
        <v>7500</v>
      </c>
      <c r="N149" s="154">
        <f t="shared" ca="1" si="77"/>
        <v>7280</v>
      </c>
      <c r="O149" s="154">
        <f t="shared" ref="O149:O157" ca="1" si="78">IF(L149&gt;0,N149*100/L149,0)</f>
        <v>97.066666666666663</v>
      </c>
      <c r="P149" s="154">
        <f t="shared" ref="P149:P157" ca="1" si="79">IF(M149&gt;0,N149*100/M149,0)</f>
        <v>97.066666666666663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7500</v>
      </c>
      <c r="M151" s="45">
        <f t="shared" ca="1" si="80"/>
        <v>7500</v>
      </c>
      <c r="N151" s="45">
        <f t="shared" ca="1" si="80"/>
        <v>7280</v>
      </c>
      <c r="O151" s="45">
        <f t="shared" ca="1" si="78"/>
        <v>97.066666666666663</v>
      </c>
      <c r="P151" s="45">
        <f t="shared" ca="1" si="79"/>
        <v>97.066666666666663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7500</v>
      </c>
      <c r="M152" s="38">
        <f t="shared" ca="1" si="81"/>
        <v>7500</v>
      </c>
      <c r="N152" s="38">
        <f t="shared" ca="1" si="81"/>
        <v>7280</v>
      </c>
      <c r="O152" s="38">
        <f t="shared" ca="1" si="78"/>
        <v>97.066666666666663</v>
      </c>
      <c r="P152" s="38">
        <f t="shared" ca="1" si="79"/>
        <v>97.066666666666663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IFERROR(__xludf.DUMMYFUNCTION("IMPORTRANGE(""https://docs.google.com/spreadsheets/d/1MeEWN-I1oV_STSDYn1IFDPWt_1FKiwhDph83XaGc0o0/edit?usp=sharing"",""งบพรบ!BU72"")"),7500)</f>
        <v>7500</v>
      </c>
      <c r="M154" s="45">
        <f ca="1">IFERROR(__xludf.DUMMYFUNCTION("IMPORTRANGE(""https://docs.google.com/spreadsheets/d/1MeEWN-I1oV_STSDYn1IFDPWt_1FKiwhDph83XaGc0o0/edit?usp=sharing"",""งบพรบ!BZ72"")"),7500)</f>
        <v>7500</v>
      </c>
      <c r="N154" s="45">
        <f ca="1">IFERROR(__xludf.DUMMYFUNCTION("IMPORTRANGE(""https://docs.google.com/spreadsheets/d/1MeEWN-I1oV_STSDYn1IFDPWt_1FKiwhDph83XaGc0o0/edit?usp=sharing"",""งบพรบ!CB72"")"),7280)</f>
        <v>7280</v>
      </c>
      <c r="O154" s="45">
        <f t="shared" ca="1" si="78"/>
        <v>97.066666666666663</v>
      </c>
      <c r="P154" s="45">
        <f t="shared" ca="1" si="79"/>
        <v>97.066666666666663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IFERROR(__xludf.DUMMYFUNCTION("IMPORTRANGE(""https://docs.google.com/spreadsheets/d/1MeEWN-I1oV_STSDYn1IFDPWt_1FKiwhDph83XaGc0o0/edit?usp=sharing"",""งบพรบ!BX72"")"),0)</f>
        <v>0</v>
      </c>
      <c r="M157" s="45">
        <f ca="1">IFERROR(__xludf.DUMMYFUNCTION("IMPORTRANGE(""https://docs.google.com/spreadsheets/d/1MeEWN-I1oV_STSDYn1IFDPWt_1FKiwhDph83XaGc0o0/edit?usp=sharing"",""งบพรบ!CA72"")"),0)</f>
        <v>0</v>
      </c>
      <c r="N157" s="45">
        <f ca="1">IFERROR(__xludf.DUMMYFUNCTION("IMPORTRANGE(""https://docs.google.com/spreadsheets/d/1MeEWN-I1oV_STSDYn1IFDPWt_1FKiwhDph83XaGc0o0/edit?usp=sharing"",""งบพรบ!CC72"")"),0)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IFERROR(__xludf.DUMMYFUNCTION("IMPORTRANGE(""https://docs.google.com/spreadsheets/d/1QqKyyYR6Q21VydFLVH3TRQUabQu_ym0Zz7PgGX0-kHA/edit?usp=sharing"",""แผน!X72"")"),15)</f>
        <v>15</v>
      </c>
      <c r="J159" s="181">
        <v>15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33050</v>
      </c>
      <c r="N165" s="154">
        <f t="shared" ca="1" si="84"/>
        <v>33050</v>
      </c>
      <c r="O165" s="154">
        <f t="shared" ref="O165:O173" ca="1" si="85">IF(L165&gt;0,N165*100/L165,0)</f>
        <v>143.32176929748482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33050</v>
      </c>
      <c r="N167" s="45">
        <f t="shared" ca="1" si="87"/>
        <v>33050</v>
      </c>
      <c r="O167" s="45">
        <f t="shared" ca="1" si="85"/>
        <v>143.32176929748482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33050</v>
      </c>
      <c r="N168" s="38">
        <f t="shared" ca="1" si="88"/>
        <v>33050</v>
      </c>
      <c r="O168" s="38">
        <f t="shared" ca="1" si="85"/>
        <v>143.32176929748482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IFERROR(__xludf.DUMMYFUNCTION("IMPORTRANGE(""https://docs.google.com/spreadsheets/d/1MeEWN-I1oV_STSDYn1IFDPWt_1FKiwhDph83XaGc0o0/edit?usp=sharing"",""งบพรบ!CE72"")"),23060)</f>
        <v>23060</v>
      </c>
      <c r="M170" s="45">
        <f ca="1">IFERROR(__xludf.DUMMYFUNCTION("IMPORTRANGE(""https://docs.google.com/spreadsheets/d/1MeEWN-I1oV_STSDYn1IFDPWt_1FKiwhDph83XaGc0o0/edit?usp=sharing"",""งบพรบ!CJ72"")"),33050)</f>
        <v>33050</v>
      </c>
      <c r="N170" s="45">
        <f ca="1">IFERROR(__xludf.DUMMYFUNCTION("IMPORTRANGE(""https://docs.google.com/spreadsheets/d/1MeEWN-I1oV_STSDYn1IFDPWt_1FKiwhDph83XaGc0o0/edit?usp=sharing"",""งบพรบ!CL72"")"),33050)</f>
        <v>33050</v>
      </c>
      <c r="O170" s="45">
        <f t="shared" ca="1" si="85"/>
        <v>143.32176929748482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IFERROR(__xludf.DUMMYFUNCTION("IMPORTRANGE(""https://docs.google.com/spreadsheets/d/1MeEWN-I1oV_STSDYn1IFDPWt_1FKiwhDph83XaGc0o0/edit?usp=sharing"",""งบพรบ!CH72"")"),0)</f>
        <v>0</v>
      </c>
      <c r="M173" s="45">
        <f ca="1">IFERROR(__xludf.DUMMYFUNCTION("IMPORTRANGE(""https://docs.google.com/spreadsheets/d/1MeEWN-I1oV_STSDYn1IFDPWt_1FKiwhDph83XaGc0o0/edit?usp=sharing"",""งบพรบ!CK72"")"),0)</f>
        <v>0</v>
      </c>
      <c r="N173" s="45">
        <f ca="1">IFERROR(__xludf.DUMMYFUNCTION("IMPORTRANGE(""https://docs.google.com/spreadsheets/d/1MeEWN-I1oV_STSDYn1IFDPWt_1FKiwhDph83XaGc0o0/edit?usp=sharing"",""งบพรบ!CM72"")"),0)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IFERROR(__xludf.DUMMYFUNCTION("IMPORTRANGE(""https://docs.google.com/spreadsheets/d/1QqKyyYR6Q21VydFLVH3TRQUabQu_ym0Zz7PgGX0-kHA/edit?usp=sharing"",""แผน!Y72"")"),12)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27000</v>
      </c>
      <c r="M181" s="154">
        <f t="shared" ca="1" si="92"/>
        <v>27000</v>
      </c>
      <c r="N181" s="154">
        <f t="shared" ca="1" si="92"/>
        <v>24950</v>
      </c>
      <c r="O181" s="154">
        <f t="shared" ref="O181:O189" ca="1" si="93">IF(L181&gt;0,N181*100/L181,0)</f>
        <v>92.407407407407405</v>
      </c>
      <c r="P181" s="154">
        <f t="shared" ref="P181:P189" ca="1" si="94">IF(M181&gt;0,N181*100/M181,0)</f>
        <v>92.407407407407405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27000</v>
      </c>
      <c r="M183" s="45">
        <f t="shared" ca="1" si="95"/>
        <v>27000</v>
      </c>
      <c r="N183" s="45">
        <f t="shared" ca="1" si="95"/>
        <v>24950</v>
      </c>
      <c r="O183" s="45">
        <f t="shared" ca="1" si="93"/>
        <v>92.407407407407405</v>
      </c>
      <c r="P183" s="45">
        <f t="shared" ca="1" si="94"/>
        <v>92.407407407407405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27000</v>
      </c>
      <c r="M184" s="38">
        <f t="shared" ca="1" si="96"/>
        <v>27000</v>
      </c>
      <c r="N184" s="38">
        <f t="shared" ca="1" si="96"/>
        <v>24950</v>
      </c>
      <c r="O184" s="38">
        <f t="shared" ca="1" si="93"/>
        <v>92.407407407407405</v>
      </c>
      <c r="P184" s="38">
        <f t="shared" ca="1" si="94"/>
        <v>92.407407407407405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IFERROR(__xludf.DUMMYFUNCTION("IMPORTRANGE(""https://docs.google.com/spreadsheets/d/1MeEWN-I1oV_STSDYn1IFDPWt_1FKiwhDph83XaGc0o0/edit?usp=sharing"",""งบพรบ!CO72"")"),27000)</f>
        <v>27000</v>
      </c>
      <c r="M186" s="45">
        <f ca="1">IFERROR(__xludf.DUMMYFUNCTION("IMPORTRANGE(""https://docs.google.com/spreadsheets/d/1MeEWN-I1oV_STSDYn1IFDPWt_1FKiwhDph83XaGc0o0/edit?usp=sharing"",""งบพรบ!CT72"")"),27000)</f>
        <v>27000</v>
      </c>
      <c r="N186" s="45">
        <f ca="1">IFERROR(__xludf.DUMMYFUNCTION("IMPORTRANGE(""https://docs.google.com/spreadsheets/d/1MeEWN-I1oV_STSDYn1IFDPWt_1FKiwhDph83XaGc0o0/edit?usp=sharing"",""งบพรบ!CV72"")"),24950)</f>
        <v>24950</v>
      </c>
      <c r="O186" s="45">
        <f t="shared" ca="1" si="93"/>
        <v>92.407407407407405</v>
      </c>
      <c r="P186" s="45">
        <f t="shared" ca="1" si="94"/>
        <v>92.407407407407405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IFERROR(__xludf.DUMMYFUNCTION("IMPORTRANGE(""https://docs.google.com/spreadsheets/d/1MeEWN-I1oV_STSDYn1IFDPWt_1FKiwhDph83XaGc0o0/edit?usp=sharing"",""งบพรบ!CR72"")"),0)</f>
        <v>0</v>
      </c>
      <c r="M189" s="45">
        <f ca="1">IFERROR(__xludf.DUMMYFUNCTION("IMPORTRANGE(""https://docs.google.com/spreadsheets/d/1MeEWN-I1oV_STSDYn1IFDPWt_1FKiwhDph83XaGc0o0/edit?usp=sharing"",""งบพรบ!CU72"")"),0)</f>
        <v>0</v>
      </c>
      <c r="N189" s="45">
        <f ca="1">IFERROR(__xludf.DUMMYFUNCTION("IMPORTRANGE(""https://docs.google.com/spreadsheets/d/1MeEWN-I1oV_STSDYn1IFDPWt_1FKiwhDph83XaGc0o0/edit?usp=sharing"",""งบพรบ!CW72"")"),0)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IFERROR(__xludf.DUMMYFUNCTION("IMPORTRANGE(""https://docs.google.com/spreadsheets/d/1QqKyyYR6Q21VydFLVH3TRQUabQu_ym0Zz7PgGX0-kHA/edit?usp=sharing"",""แผน!Z72"")"),6000)</f>
        <v>6000</v>
      </c>
      <c r="M191" s="154"/>
      <c r="N191" s="264">
        <v>5050</v>
      </c>
      <c r="O191" s="154">
        <f ca="1">IF(L191&gt;0,N191*100/L191,0)</f>
        <v>84.166666666666671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IFERROR(__xludf.DUMMYFUNCTION("IMPORTRANGE(""https://docs.google.com/spreadsheets/d/1QqKyyYR6Q21VydFLVH3TRQUabQu_ym0Zz7PgGX0-kHA/edit?usp=sharing"",""แผน!AC72"")"),4)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>90+41</f>
        <v>131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IFERROR(__xludf.DUMMYFUNCTION("IMPORTRANGE(""https://docs.google.com/spreadsheets/d/1QqKyyYR6Q21VydFLVH3TRQUabQu_ym0Zz7PgGX0-kHA/edit?usp=sharing"",""แผน!AE72"")"),1000)</f>
        <v>1000</v>
      </c>
      <c r="M199" s="38"/>
      <c r="N199" s="271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IFERROR(__xludf.DUMMYFUNCTION("IMPORTRANGE(""https://docs.google.com/spreadsheets/d/1QqKyyYR6Q21VydFLVH3TRQUabQu_ym0Zz7PgGX0-kHA/edit?usp=sharing"",""แผน!AF72"")"),8000)</f>
        <v>8000</v>
      </c>
      <c r="M200" s="38"/>
      <c r="N200" s="271">
        <v>8000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IFERROR(__xludf.DUMMYFUNCTION("IMPORTRANGE(""https://docs.google.com/spreadsheets/d/1QqKyyYR6Q21VydFLVH3TRQUabQu_ym0Zz7PgGX0-kHA/edit?usp=sharing"",""แผน!AG72"")"),4000)</f>
        <v>4000</v>
      </c>
      <c r="M201" s="38"/>
      <c r="N201" s="271">
        <v>4000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IFERROR(__xludf.DUMMYFUNCTION("IMPORTRANGE(""https://docs.google.com/spreadsheets/d/1QqKyyYR6Q21VydFLVH3TRQUabQu_ym0Zz7PgGX0-kHA/edit?usp=sharing"",""แผน!AH72"")"),0)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IFERROR(__xludf.DUMMYFUNCTION("IMPORTRANGE(""https://docs.google.com/spreadsheets/d/1QqKyyYR6Q21VydFLVH3TRQUabQu_ym0Zz7PgGX0-kHA/edit?usp=sharing"",""แผน!AI72"")"),1)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IFERROR(__xludf.DUMMYFUNCTION("IMPORTRANGE(""https://docs.google.com/spreadsheets/d/1QqKyyYR6Q21VydFLVH3TRQUabQu_ym0Zz7PgGX0-kHA/edit?usp=sharing"",""แผน!AK72"")"),0)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IFERROR(__xludf.DUMMYFUNCTION("IMPORTRANGE(""https://docs.google.com/spreadsheets/d/1QqKyyYR6Q21VydFLVH3TRQUabQu_ym0Zz7PgGX0-kHA/edit?usp=sharing"",""แผน!AL72"")"),0)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IFERROR(__xludf.DUMMYFUNCTION("IMPORTRANGE(""https://docs.google.com/spreadsheets/d/1QqKyyYR6Q21VydFLVH3TRQUabQu_ym0Zz7PgGX0-kHA/edit?usp=sharing"",""แผน!AM72"")"),0)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20000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6900</v>
      </c>
      <c r="O217" s="154">
        <f ca="1">IF(L217&gt;0,N217*100/L217,0)</f>
        <v>86.25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IFERROR(__xludf.DUMMYFUNCTION("IMPORTRANGE(""https://docs.google.com/spreadsheets/d/1QqKyyYR6Q21VydFLVH3TRQUabQu_ym0Zz7PgGX0-kHA/edit?usp=sharing"",""แผน!AP72"")"),3000)</f>
        <v>3000</v>
      </c>
      <c r="M218" s="38"/>
      <c r="N218" s="271">
        <v>2100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IFERROR(__xludf.DUMMYFUNCTION("IMPORTRANGE(""https://docs.google.com/spreadsheets/d/1QqKyyYR6Q21VydFLVH3TRQUabQu_ym0Zz7PgGX0-kHA/edit?usp=sharing"",""แผน!AQ72"")"),5000)</f>
        <v>5000</v>
      </c>
      <c r="M219" s="38"/>
      <c r="N219" s="271">
        <v>4800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IFERROR(__xludf.DUMMYFUNCTION("IMPORTRANGE(""https://docs.google.com/spreadsheets/d/1QqKyyYR6Q21VydFLVH3TRQUabQu_ym0Zz7PgGX0-kHA/edit?usp=sharing"",""แผน!AR72"")"),0)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IFERROR(__xludf.DUMMYFUNCTION("IMPORTRANGE(""https://docs.google.com/spreadsheets/d/1QqKyyYR6Q21VydFLVH3TRQUabQu_ym0Zz7PgGX0-kHA/edit?usp=sharing"",""แผน!AT72"")"),20000)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IFERROR(__xludf.DUMMYFUNCTION("IMPORTRANGE(""https://docs.google.com/spreadsheets/d/1QqKyyYR6Q21VydFLVH3TRQUabQu_ym0Zz7PgGX0-kHA/edit?usp=sharing"",""แผน!AT72"")"),20000)</f>
        <v>20000</v>
      </c>
      <c r="J224" s="181">
        <v>20000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IFERROR(__xludf.DUMMYFUNCTION("IMPORTRANGE(""https://docs.google.com/spreadsheets/d/1QqKyyYR6Q21VydFLVH3TRQUabQu_ym0Zz7PgGX0-kHA/edit?usp=sharing"",""แผน!AS72"")"),0)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IFERROR(__xludf.DUMMYFUNCTION("IMPORTRANGE(""https://docs.google.com/spreadsheets/d/1QqKyyYR6Q21VydFLVH3TRQUabQu_ym0Zz7PgGX0-kHA/edit?usp=sharing"",""แผน!AV72"")"),0)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IFERROR(__xludf.DUMMYFUNCTION("IMPORTRANGE(""https://docs.google.com/spreadsheets/d/1QqKyyYR6Q21VydFLVH3TRQUabQu_ym0Zz7PgGX0-kHA/edit?usp=sharing"",""แผน!AW72"")"),0)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IFERROR(__xludf.DUMMYFUNCTION("IMPORTRANGE(""https://docs.google.com/spreadsheets/d/1QqKyyYR6Q21VydFLVH3TRQUabQu_ym0Zz7PgGX0-kHA/edit?usp=sharing"",""แผน!AX72"")"),0)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IFERROR(__xludf.DUMMYFUNCTION("IMPORTRANGE(""https://docs.google.com/spreadsheets/d/1QqKyyYR6Q21VydFLVH3TRQUabQu_ym0Zz7PgGX0-kHA/edit?usp=sharing"",""แผน!AY72"")"),0)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IFERROR(__xludf.DUMMYFUNCTION("IMPORTRANGE(""https://docs.google.com/spreadsheets/d/1QqKyyYR6Q21VydFLVH3TRQUabQu_ym0Zz7PgGX0-kHA/edit?usp=sharing"",""แผน!AZ72"")"),0)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IFERROR(__xludf.DUMMYFUNCTION("IMPORTRANGE(""https://docs.google.com/spreadsheets/d/1QqKyyYR6Q21VydFLVH3TRQUabQu_ym0Zz7PgGX0-kHA/edit?usp=sharing"",""แผน!BA72"")"),0)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IFERROR(__xludf.DUMMYFUNCTION("IMPORTRANGE(""https://docs.google.com/spreadsheets/d/1QqKyyYR6Q21VydFLVH3TRQUabQu_ym0Zz7PgGX0-kHA/edit?usp=sharing"",""แผน!BB72"")"),0)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IFERROR(__xludf.DUMMYFUNCTION("IMPORTRANGE(""https://docs.google.com/spreadsheets/d/1QqKyyYR6Q21VydFLVH3TRQUabQu_ym0Zz7PgGX0-kHA/edit?usp=sharing"",""แผน!BC72"")"),0)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26900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26900</v>
      </c>
      <c r="O263" s="45">
        <f t="shared" ca="1" si="117"/>
        <v>100</v>
      </c>
      <c r="P263" s="45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26900</v>
      </c>
      <c r="O264" s="38">
        <f t="shared" ca="1" si="117"/>
        <v>100</v>
      </c>
      <c r="P264" s="3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IFERROR(__xludf.DUMMYFUNCTION("IMPORTRANGE(""https://docs.google.com/spreadsheets/d/1MeEWN-I1oV_STSDYn1IFDPWt_1FKiwhDph83XaGc0o0/edit?usp=sharing"",""งบพรบ!CY72"")"),26900)</f>
        <v>26900</v>
      </c>
      <c r="M266" s="45">
        <f ca="1">IFERROR(__xludf.DUMMYFUNCTION("IMPORTRANGE(""https://docs.google.com/spreadsheets/d/1MeEWN-I1oV_STSDYn1IFDPWt_1FKiwhDph83XaGc0o0/edit?usp=sharing"",""งบพรบ!DD72"")"),26900)</f>
        <v>26900</v>
      </c>
      <c r="N266" s="45">
        <f ca="1">IFERROR(__xludf.DUMMYFUNCTION("IMPORTRANGE(""https://docs.google.com/spreadsheets/d/1MeEWN-I1oV_STSDYn1IFDPWt_1FKiwhDph83XaGc0o0/edit?usp=sharing"",""งบพรบ!DF72"")"),26900)</f>
        <v>26900</v>
      </c>
      <c r="O266" s="45">
        <f t="shared" ca="1" si="117"/>
        <v>100</v>
      </c>
      <c r="P266" s="45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IFERROR(__xludf.DUMMYFUNCTION("IMPORTRANGE(""https://docs.google.com/spreadsheets/d/1MeEWN-I1oV_STSDYn1IFDPWt_1FKiwhDph83XaGc0o0/edit?usp=sharing"",""งบพรบ!DB72"")"),0)</f>
        <v>0</v>
      </c>
      <c r="M269" s="45">
        <f ca="1">IFERROR(__xludf.DUMMYFUNCTION("IMPORTRANGE(""https://docs.google.com/spreadsheets/d/1MeEWN-I1oV_STSDYn1IFDPWt_1FKiwhDph83XaGc0o0/edit?usp=sharing"",""งบพรบ!DE72"")"),0)</f>
        <v>0</v>
      </c>
      <c r="N269" s="45">
        <f ca="1">IFERROR(__xludf.DUMMYFUNCTION("IMPORTRANGE(""https://docs.google.com/spreadsheets/d/1MeEWN-I1oV_STSDYn1IFDPWt_1FKiwhDph83XaGc0o0/edit?usp=sharing"",""งบพรบ!DG72"")"),0)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IFERROR(__xludf.DUMMYFUNCTION("IMPORTRANGE(""https://docs.google.com/spreadsheets/d/1QqKyyYR6Q21VydFLVH3TRQUabQu_ym0Zz7PgGX0-kHA/edit?usp=sharing"",""แผน!EA72"")"),22)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100</v>
      </c>
      <c r="J276" s="810">
        <f t="shared" si="124"/>
        <v>100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40810</v>
      </c>
      <c r="O277" s="154">
        <f t="shared" ref="O277:O285" ca="1" si="126">IF(L277&gt;0,N277*100/L277,0)</f>
        <v>99.512314069739091</v>
      </c>
      <c r="P277" s="154">
        <f t="shared" ref="P277:P285" ca="1" si="127">IF(M277&gt;0,N277*100/M277,0)</f>
        <v>99.512314069739091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40810</v>
      </c>
      <c r="O279" s="45">
        <f t="shared" ca="1" si="126"/>
        <v>99.512314069739091</v>
      </c>
      <c r="P279" s="45">
        <f t="shared" ca="1" si="127"/>
        <v>99.512314069739091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40810</v>
      </c>
      <c r="O280" s="38">
        <f t="shared" ca="1" si="126"/>
        <v>99.512314069739091</v>
      </c>
      <c r="P280" s="38">
        <f t="shared" ca="1" si="127"/>
        <v>99.512314069739091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IFERROR(__xludf.DUMMYFUNCTION("IMPORTRANGE(""https://docs.google.com/spreadsheets/d/1MeEWN-I1oV_STSDYn1IFDPWt_1FKiwhDph83XaGc0o0/edit?usp=sharing"",""งบพรบ!DI72"")"),41010)</f>
        <v>41010</v>
      </c>
      <c r="M282" s="45">
        <f ca="1">IFERROR(__xludf.DUMMYFUNCTION("IMPORTRANGE(""https://docs.google.com/spreadsheets/d/1MeEWN-I1oV_STSDYn1IFDPWt_1FKiwhDph83XaGc0o0/edit?usp=sharing"",""งบพรบ!DN72"")"),41010)</f>
        <v>41010</v>
      </c>
      <c r="N282" s="45">
        <f ca="1">IFERROR(__xludf.DUMMYFUNCTION("IMPORTRANGE(""https://docs.google.com/spreadsheets/d/1MeEWN-I1oV_STSDYn1IFDPWt_1FKiwhDph83XaGc0o0/edit?usp=sharing"",""งบพรบ!DP72"")"),40810)</f>
        <v>40810</v>
      </c>
      <c r="O282" s="45">
        <f t="shared" ca="1" si="126"/>
        <v>99.512314069739091</v>
      </c>
      <c r="P282" s="45">
        <f t="shared" ca="1" si="127"/>
        <v>99.512314069739091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IFERROR(__xludf.DUMMYFUNCTION("IMPORTRANGE(""https://docs.google.com/spreadsheets/d/1MeEWN-I1oV_STSDYn1IFDPWt_1FKiwhDph83XaGc0o0/edit?usp=sharing"",""งบพรบ!DL72"")"),0)</f>
        <v>0</v>
      </c>
      <c r="M285" s="45">
        <f ca="1">IFERROR(__xludf.DUMMYFUNCTION("IMPORTRANGE(""https://docs.google.com/spreadsheets/d/1MeEWN-I1oV_STSDYn1IFDPWt_1FKiwhDph83XaGc0o0/edit?usp=sharing"",""งบพรบ!DO72"")"),0)</f>
        <v>0</v>
      </c>
      <c r="N285" s="45">
        <f ca="1">IFERROR(__xludf.DUMMYFUNCTION("IMPORTRANGE(""https://docs.google.com/spreadsheets/d/1MeEWN-I1oV_STSDYn1IFDPWt_1FKiwhDph83XaGc0o0/edit?usp=sharing"",""งบพรบ!DQ72"")"),0)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IFERROR(__xludf.DUMMYFUNCTION("IMPORTRANGE(""https://docs.google.com/spreadsheets/d/1QqKyyYR6Q21VydFLVH3TRQUabQu_ym0Zz7PgGX0-kHA/edit?usp=sharing"",""แผน!EC72"")"),100)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IFERROR(__xludf.DUMMYFUNCTION("IMPORTRANGE(""https://docs.google.com/spreadsheets/d/1QqKyyYR6Q21VydFLVH3TRQUabQu_ym0Zz7PgGX0-kHA/edit?usp=sharing"",""แผน!EB72"")"),10)</f>
        <v>10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IFERROR(__xludf.DUMMYFUNCTION("IMPORTRANGE(""https://docs.google.com/spreadsheets/d/1QqKyyYR6Q21VydFLVH3TRQUabQu_ym0Zz7PgGX0-kHA/edit?usp=sharing"",""แผน!EB72"")"),10)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IFERROR(__xludf.DUMMYFUNCTION("IMPORTRANGE(""https://docs.google.com/spreadsheets/d/1QqKyyYR6Q21VydFLVH3TRQUabQu_ym0Zz7PgGX0-kHA/edit?usp=sharing"",""แผน!EB72"")"),10)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IFERROR(__xludf.DUMMYFUNCTION("IMPORTRANGE(""https://docs.google.com/spreadsheets/d/1QqKyyYR6Q21VydFLVH3TRQUabQu_ym0Zz7PgGX0-kHA/edit?usp=sharing"",""แผน!EB72"")"),10)</f>
        <v>10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IFERROR(__xludf.DUMMYFUNCTION("IMPORTRANGE(""https://docs.google.com/spreadsheets/d/1QqKyyYR6Q21VydFLVH3TRQUabQu_ym0Zz7PgGX0-kHA/edit?usp=sharing"",""แผน!EB72"")"),10)</f>
        <v>10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15</v>
      </c>
      <c r="J297" s="421">
        <f t="shared" si="134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63800</v>
      </c>
      <c r="M298" s="154">
        <f t="shared" ca="1" si="135"/>
        <v>63800</v>
      </c>
      <c r="N298" s="154">
        <f t="shared" ca="1" si="135"/>
        <v>60758</v>
      </c>
      <c r="O298" s="154">
        <f t="shared" ref="O298:O306" ca="1" si="136">IF(L298&gt;0,N298*100/L298,0)</f>
        <v>95.231974921630098</v>
      </c>
      <c r="P298" s="154">
        <f t="shared" ref="P298:P306" ca="1" si="137">IF(M298&gt;0,N298*100/M298,0)</f>
        <v>95.231974921630098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63800</v>
      </c>
      <c r="M300" s="45">
        <f t="shared" ca="1" si="138"/>
        <v>63800</v>
      </c>
      <c r="N300" s="45">
        <f t="shared" ca="1" si="138"/>
        <v>60758</v>
      </c>
      <c r="O300" s="45">
        <f t="shared" ca="1" si="136"/>
        <v>95.231974921630098</v>
      </c>
      <c r="P300" s="45">
        <f t="shared" ca="1" si="137"/>
        <v>95.231974921630098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63800</v>
      </c>
      <c r="M301" s="38">
        <f t="shared" ca="1" si="139"/>
        <v>63800</v>
      </c>
      <c r="N301" s="38">
        <f t="shared" ca="1" si="139"/>
        <v>60758</v>
      </c>
      <c r="O301" s="38">
        <f t="shared" ca="1" si="136"/>
        <v>95.231974921630098</v>
      </c>
      <c r="P301" s="38">
        <f t="shared" ca="1" si="137"/>
        <v>95.231974921630098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IFERROR(__xludf.DUMMYFUNCTION("IMPORTRANGE(""https://docs.google.com/spreadsheets/d/1MeEWN-I1oV_STSDYn1IFDPWt_1FKiwhDph83XaGc0o0/edit?usp=sharing"",""งบพรบ!DS72"")"),63800)</f>
        <v>63800</v>
      </c>
      <c r="M303" s="45">
        <f ca="1">IFERROR(__xludf.DUMMYFUNCTION("IMPORTRANGE(""https://docs.google.com/spreadsheets/d/1MeEWN-I1oV_STSDYn1IFDPWt_1FKiwhDph83XaGc0o0/edit?usp=sharing"",""งบพรบ!DX72"")"),63800)</f>
        <v>63800</v>
      </c>
      <c r="N303" s="45">
        <f ca="1">IFERROR(__xludf.DUMMYFUNCTION("IMPORTRANGE(""https://docs.google.com/spreadsheets/d/1MeEWN-I1oV_STSDYn1IFDPWt_1FKiwhDph83XaGc0o0/edit?usp=sharing"",""งบพรบ!DZ72"")"),60758)</f>
        <v>60758</v>
      </c>
      <c r="O303" s="45">
        <f t="shared" ca="1" si="136"/>
        <v>95.231974921630098</v>
      </c>
      <c r="P303" s="45">
        <f t="shared" ca="1" si="137"/>
        <v>95.231974921630098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IFERROR(__xludf.DUMMYFUNCTION("IMPORTRANGE(""https://docs.google.com/spreadsheets/d/1MeEWN-I1oV_STSDYn1IFDPWt_1FKiwhDph83XaGc0o0/edit?usp=sharing"",""งบพรบ!DV72"")"),0)</f>
        <v>0</v>
      </c>
      <c r="M306" s="45">
        <f ca="1">IFERROR(__xludf.DUMMYFUNCTION("IMPORTRANGE(""https://docs.google.com/spreadsheets/d/1MeEWN-I1oV_STSDYn1IFDPWt_1FKiwhDph83XaGc0o0/edit?usp=sharing"",""งบพรบ!DY72"")"),0)</f>
        <v>0</v>
      </c>
      <c r="N306" s="45">
        <f ca="1">IFERROR(__xludf.DUMMYFUNCTION("IMPORTRANGE(""https://docs.google.com/spreadsheets/d/1MeEWN-I1oV_STSDYn1IFDPWt_1FKiwhDph83XaGc0o0/edit?usp=sharing"",""งบพรบ!EA72"")"),0)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IFERROR(__xludf.DUMMYFUNCTION("IMPORTRANGE(""https://docs.google.com/spreadsheets/d/1QqKyyYR6Q21VydFLVH3TRQUabQu_ym0Zz7PgGX0-kHA/edit?usp=sharing"",""แผน!ED72"")"),15)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IFERROR(__xludf.DUMMYFUNCTION("IMPORTRANGE(""https://docs.google.com/spreadsheets/d/1QqKyyYR6Q21VydFLVH3TRQUabQu_ym0Zz7PgGX0-kHA/edit?usp=sharing"",""แผน!ED72"")"),15)</f>
        <v>15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IFERROR(__xludf.DUMMYFUNCTION("IMPORTRANGE(""https://docs.google.com/spreadsheets/d/1QqKyyYR6Q21VydFLVH3TRQUabQu_ym0Zz7PgGX0-kHA/edit?usp=sharing"",""แผน!ED72"")"),15)</f>
        <v>15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IFERROR(__xludf.DUMMYFUNCTION("IMPORTRANGE(""https://docs.google.com/spreadsheets/d/1QqKyyYR6Q21VydFLVH3TRQUabQu_ym0Zz7PgGX0-kHA/edit?usp=sharing"",""แผน!EE72"")"),3)</f>
        <v>3</v>
      </c>
      <c r="J312" s="181">
        <v>3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IFERROR(__xludf.DUMMYFUNCTION("IMPORTRANGE(""https://docs.google.com/spreadsheets/d/1MeEWN-I1oV_STSDYn1IFDPWt_1FKiwhDph83XaGc0o0/edit?usp=sharing"",""งบพรบ!EC72"")"),0)</f>
        <v>0</v>
      </c>
      <c r="M320" s="45">
        <f ca="1">IFERROR(__xludf.DUMMYFUNCTION("IMPORTRANGE(""https://docs.google.com/spreadsheets/d/1MeEWN-I1oV_STSDYn1IFDPWt_1FKiwhDph83XaGc0o0/edit?usp=sharing"",""งบพรบ!EH72"")"),0)</f>
        <v>0</v>
      </c>
      <c r="N320" s="45">
        <f ca="1">IFERROR(__xludf.DUMMYFUNCTION("IMPORTRANGE(""https://docs.google.com/spreadsheets/d/1MeEWN-I1oV_STSDYn1IFDPWt_1FKiwhDph83XaGc0o0/edit?usp=sharing"",""งบพรบ!EJ72"")"),0)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IFERROR(__xludf.DUMMYFUNCTION("IMPORTRANGE(""https://docs.google.com/spreadsheets/d/1MeEWN-I1oV_STSDYn1IFDPWt_1FKiwhDph83XaGc0o0/edit?usp=sharing"",""งบพรบ!EF72"")"),0)</f>
        <v>0</v>
      </c>
      <c r="M323" s="45">
        <f ca="1">IFERROR(__xludf.DUMMYFUNCTION("IMPORTRANGE(""https://docs.google.com/spreadsheets/d/1MeEWN-I1oV_STSDYn1IFDPWt_1FKiwhDph83XaGc0o0/edit?usp=sharing"",""งบพรบ!EI72"")"),0)</f>
        <v>0</v>
      </c>
      <c r="N323" s="45">
        <f ca="1">IFERROR(__xludf.DUMMYFUNCTION("IMPORTRANGE(""https://docs.google.com/spreadsheets/d/1MeEWN-I1oV_STSDYn1IFDPWt_1FKiwhDph83XaGc0o0/edit?usp=sharing"",""งบพรบ!EK72"")"),0)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IFERROR(__xludf.DUMMYFUNCTION("IMPORTRANGE(""https://docs.google.com/spreadsheets/d/1QqKyyYR6Q21VydFLVH3TRQUabQu_ym0Zz7PgGX0-kHA/edit?usp=sharing"",""แผน!EF72"")"),0)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IFERROR(__xludf.DUMMYFUNCTION("IMPORTRANGE(""https://docs.google.com/spreadsheets/d/1QqKyyYR6Q21VydFLVH3TRQUabQu_ym0Zz7PgGX0-kHA/edit?usp=sharing"",""แผน!EG72"")"),2300)</f>
        <v>2300</v>
      </c>
      <c r="J327" s="421">
        <f ca="1">J338+J341+J342+J343</f>
        <v>2828</v>
      </c>
      <c r="K327" s="422">
        <f ca="1">IF(I327&gt;0,J327*100/I327,0)</f>
        <v>122.95652173913044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166000</v>
      </c>
      <c r="M328" s="154">
        <f t="shared" ca="1" si="149"/>
        <v>168500</v>
      </c>
      <c r="N328" s="154">
        <f t="shared" ca="1" si="149"/>
        <v>143723.47</v>
      </c>
      <c r="O328" s="154">
        <f t="shared" ref="O328:O336" ca="1" si="150">IF(L328&gt;0,N328*100/L328,0)</f>
        <v>86.580403614457836</v>
      </c>
      <c r="P328" s="154">
        <f t="shared" ref="P328:P336" ca="1" si="151">IF(M328&gt;0,N328*100/M328,0)</f>
        <v>85.295827893175073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166000</v>
      </c>
      <c r="M330" s="45">
        <f t="shared" ca="1" si="152"/>
        <v>168500</v>
      </c>
      <c r="N330" s="45">
        <f t="shared" ca="1" si="152"/>
        <v>143723.47</v>
      </c>
      <c r="O330" s="45">
        <f t="shared" ca="1" si="150"/>
        <v>86.580403614457836</v>
      </c>
      <c r="P330" s="45">
        <f t="shared" ca="1" si="151"/>
        <v>85.295827893175073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166000</v>
      </c>
      <c r="M331" s="38">
        <f t="shared" ca="1" si="153"/>
        <v>168500</v>
      </c>
      <c r="N331" s="38">
        <f t="shared" ca="1" si="153"/>
        <v>143723.47</v>
      </c>
      <c r="O331" s="38">
        <f t="shared" ca="1" si="150"/>
        <v>86.580403614457836</v>
      </c>
      <c r="P331" s="38">
        <f t="shared" ca="1" si="151"/>
        <v>85.295827893175073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IFERROR(__xludf.DUMMYFUNCTION("IMPORTRANGE(""https://docs.google.com/spreadsheets/d/1MeEWN-I1oV_STSDYn1IFDPWt_1FKiwhDph83XaGc0o0/edit?usp=sharing"",""งบพรบ!EM72"")"),166000)</f>
        <v>166000</v>
      </c>
      <c r="M333" s="45">
        <f ca="1">IFERROR(__xludf.DUMMYFUNCTION("IMPORTRANGE(""https://docs.google.com/spreadsheets/d/1MeEWN-I1oV_STSDYn1IFDPWt_1FKiwhDph83XaGc0o0/edit?usp=sharing"",""งบพรบ!ER72"")"),168500)</f>
        <v>168500</v>
      </c>
      <c r="N333" s="45">
        <f ca="1">IFERROR(__xludf.DUMMYFUNCTION("IMPORTRANGE(""https://docs.google.com/spreadsheets/d/1MeEWN-I1oV_STSDYn1IFDPWt_1FKiwhDph83XaGc0o0/edit?usp=sharing"",""งบพรบ!ET72"")"),143723.47)</f>
        <v>143723.47</v>
      </c>
      <c r="O333" s="45">
        <f t="shared" ca="1" si="150"/>
        <v>86.580403614457836</v>
      </c>
      <c r="P333" s="45">
        <f t="shared" ca="1" si="151"/>
        <v>85.295827893175073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IFERROR(__xludf.DUMMYFUNCTION("IMPORTRANGE(""https://docs.google.com/spreadsheets/d/1MeEWN-I1oV_STSDYn1IFDPWt_1FKiwhDph83XaGc0o0/edit?usp=sharing"",""งบพรบ!EP72"")"),0)</f>
        <v>0</v>
      </c>
      <c r="M336" s="45">
        <f ca="1">IFERROR(__xludf.DUMMYFUNCTION("IMPORTRANGE(""https://docs.google.com/spreadsheets/d/1MeEWN-I1oV_STSDYn1IFDPWt_1FKiwhDph83XaGc0o0/edit?usp=sharing"",""งบพรบ!ES72"")"),0)</f>
        <v>0</v>
      </c>
      <c r="N336" s="45">
        <f ca="1">IFERROR(__xludf.DUMMYFUNCTION("IMPORTRANGE(""https://docs.google.com/spreadsheets/d/1MeEWN-I1oV_STSDYn1IFDPWt_1FKiwhDph83XaGc0o0/edit?usp=sharing"",""งบพรบ!EU72"")"),0)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IFERROR(__xludf.DUMMYFUNCTION("IMPORTRANGE(""https://docs.google.com/spreadsheets/d/1QqKyyYR6Q21VydFLVH3TRQUabQu_ym0Zz7PgGX0-kHA/edit?usp=sharing"",""แผน!EG72"")"),2300)</f>
        <v>2300</v>
      </c>
      <c r="J338" s="37">
        <f ca="1">IFERROR(__xludf.DUMMYFUNCTION("IMPORTRANGE(""https://docs.google.com/spreadsheets/d/1kVcqe37tkHyjCSG3S0O1AXqVkqjo8mSIZil3BcpIysc/edit?usp=sharing"",""ศูนย์!D72"")"),2633)</f>
        <v>2633</v>
      </c>
      <c r="K338" s="38">
        <f ca="1">IF(I338&gt;0,J338*100/I338,0)</f>
        <v>114.47826086956522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IFERROR(__xludf.DUMMYFUNCTION("IMPORTRANGE(""https://docs.google.com/spreadsheets/d/1QqKyyYR6Q21VydFLVH3TRQUabQu_ym0Zz7PgGX0-kHA/edit?usp=sharing"",""แผน!EH72"")"),4)</f>
        <v>4</v>
      </c>
      <c r="J340" s="37">
        <f ca="1">IFERROR(__xludf.DUMMYFUNCTION("IMPORTRANGE(""https://docs.google.com/spreadsheets/d/1kVcqe37tkHyjCSG3S0O1AXqVkqjo8mSIZil3BcpIysc/edit?usp=sharing"",""ศูนย์!E72"")"),2)</f>
        <v>2</v>
      </c>
      <c r="K340" s="38">
        <f ca="1">IF(I340&gt;0,J340*100/I340,0)</f>
        <v>50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IFERROR(__xludf.DUMMYFUNCTION("IMPORTRANGE(""https://docs.google.com/spreadsheets/d/1kVcqe37tkHyjCSG3S0O1AXqVkqjo8mSIZil3BcpIysc/edit?usp=sharing"",""ศูนย์!F72"")"),194)</f>
        <v>194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IFERROR(__xludf.DUMMYFUNCTION("IMPORTRANGE(""https://docs.google.com/spreadsheets/d/1kVcqe37tkHyjCSG3S0O1AXqVkqjo8mSIZil3BcpIysc/edit?usp=sharing"",""ศูนย์!G72"")"),1)</f>
        <v>1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IFERROR(__xludf.DUMMYFUNCTION("IMPORTRANGE(""https://docs.google.com/spreadsheets/d/1kVcqe37tkHyjCSG3S0O1AXqVkqjo8mSIZil3BcpIysc/edit?usp=sharing"",""ศูนย์!H72"")"),0)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1143490</v>
      </c>
      <c r="M345" s="154">
        <f t="shared" ca="1" si="155"/>
        <v>1307600</v>
      </c>
      <c r="N345" s="154">
        <f t="shared" ca="1" si="155"/>
        <v>1064614.3900000001</v>
      </c>
      <c r="O345" s="154">
        <f t="shared" ref="O345:O353" ca="1" si="156">IF(L345&gt;0,N345*100/L345,0)</f>
        <v>93.102203779657032</v>
      </c>
      <c r="P345" s="154">
        <f t="shared" ref="P345:P353" ca="1" si="157">IF(M345&gt;0,N345*100/M345,0)</f>
        <v>81.417435760171315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1143490</v>
      </c>
      <c r="M347" s="45">
        <f t="shared" ca="1" si="158"/>
        <v>1307600</v>
      </c>
      <c r="N347" s="45">
        <f t="shared" ca="1" si="158"/>
        <v>1064614.3900000001</v>
      </c>
      <c r="O347" s="45">
        <f t="shared" ca="1" si="156"/>
        <v>93.102203779657032</v>
      </c>
      <c r="P347" s="45">
        <f t="shared" ca="1" si="157"/>
        <v>81.417435760171315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999890</v>
      </c>
      <c r="M348" s="38">
        <f t="shared" ca="1" si="159"/>
        <v>1164000</v>
      </c>
      <c r="N348" s="38">
        <f t="shared" ca="1" si="159"/>
        <v>921014.39</v>
      </c>
      <c r="O348" s="38">
        <f t="shared" ca="1" si="156"/>
        <v>92.11157127284001</v>
      </c>
      <c r="P348" s="38">
        <f t="shared" ca="1" si="157"/>
        <v>79.12494759450172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IFERROR(__xludf.DUMMYFUNCTION("IMPORTRANGE(""https://docs.google.com/spreadsheets/d/1MeEWN-I1oV_STSDYn1IFDPWt_1FKiwhDph83XaGc0o0/edit?usp=sharing"",""งบพรบ!EW72"")"),999890)</f>
        <v>999890</v>
      </c>
      <c r="M350" s="45">
        <f ca="1">IFERROR(__xludf.DUMMYFUNCTION("IMPORTRANGE(""https://docs.google.com/spreadsheets/d/1MeEWN-I1oV_STSDYn1IFDPWt_1FKiwhDph83XaGc0o0/edit?usp=sharing"",""งบพรบ!FB72"")"),1164000)</f>
        <v>1164000</v>
      </c>
      <c r="N350" s="45">
        <f ca="1">IFERROR(__xludf.DUMMYFUNCTION("IMPORTRANGE(""https://docs.google.com/spreadsheets/d/1MeEWN-I1oV_STSDYn1IFDPWt_1FKiwhDph83XaGc0o0/edit?usp=sharing"",""งบพรบ!FD72"")"),921014.39)</f>
        <v>921014.39</v>
      </c>
      <c r="O350" s="45">
        <f t="shared" ca="1" si="156"/>
        <v>92.11157127284001</v>
      </c>
      <c r="P350" s="45">
        <f t="shared" ca="1" si="157"/>
        <v>79.12494759450172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143600</v>
      </c>
      <c r="M351" s="38">
        <f t="shared" ca="1" si="160"/>
        <v>143600</v>
      </c>
      <c r="N351" s="38">
        <f t="shared" ca="1" si="160"/>
        <v>143600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IFERROR(__xludf.DUMMYFUNCTION("IMPORTRANGE(""https://docs.google.com/spreadsheets/d/1MeEWN-I1oV_STSDYn1IFDPWt_1FKiwhDph83XaGc0o0/edit?usp=sharing"",""งบพรบ!EZ72"")"),143600)</f>
        <v>143600</v>
      </c>
      <c r="M353" s="45">
        <f ca="1">IFERROR(__xludf.DUMMYFUNCTION("IMPORTRANGE(""https://docs.google.com/spreadsheets/d/1MeEWN-I1oV_STSDYn1IFDPWt_1FKiwhDph83XaGc0o0/edit?usp=sharing"",""งบพรบ!FC72"")"),143600)</f>
        <v>143600</v>
      </c>
      <c r="N353" s="45">
        <f ca="1">IFERROR(__xludf.DUMMYFUNCTION("IMPORTRANGE(""https://docs.google.com/spreadsheets/d/1MeEWN-I1oV_STSDYn1IFDPWt_1FKiwhDph83XaGc0o0/edit?usp=sharing"",""งบพรบ!FE72"")"),143600)</f>
        <v>143600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IFERROR(__xludf.DUMMYFUNCTION("IMPORTRANGE(""https://docs.google.com/spreadsheets/d/1QqKyyYR6Q21VydFLVH3TRQUabQu_ym0Zz7PgGX0-kHA/edit?usp=sharing"",""แผน!EP72"")"),220)</f>
        <v>220</v>
      </c>
      <c r="J355" s="438">
        <f ca="1">J362</f>
        <v>213</v>
      </c>
      <c r="K355" s="439">
        <f ca="1">IF(I355&gt;0,J355*100/I355,0)</f>
        <v>96.818181818181813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IFERROR(__xludf.DUMMYFUNCTION("IMPORTRANGE(""https://docs.google.com/spreadsheets/d/1XWAQStnk-4SwqDmLtmXYiTMKHgktTP8We1SCoS47DrQ/edit?usp=sharing"",""จัดที่ดิน!W72"")"),378)</f>
        <v>378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IFERROR(__xludf.DUMMYFUNCTION("IMPORTRANGE(""https://docs.google.com/spreadsheets/d/1QqKyyYR6Q21VydFLVH3TRQUabQu_ym0Zz7PgGX0-kHA/edit?usp=sharing"",""แผน!EO72"")"),2100)</f>
        <v>2100</v>
      </c>
      <c r="J359" s="37">
        <f ca="1">IFERROR(__xludf.DUMMYFUNCTION("IMPORTRANGE(""https://docs.google.com/spreadsheets/d/1XWAQStnk-4SwqDmLtmXYiTMKHgktTP8We1SCoS47DrQ/edit?usp=sharing"",""จัดที่ดิน!X72"")"),2391.35)</f>
        <v>2391.35</v>
      </c>
      <c r="K359" s="38">
        <f t="shared" ca="1" si="161"/>
        <v>113.87380952380953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IFERROR(__xludf.DUMMYFUNCTION("IMPORTRANGE(""https://docs.google.com/spreadsheets/d/1QqKyyYR6Q21VydFLVH3TRQUabQu_ym0Zz7PgGX0-kHA/edit?usp=sharing"",""แผน!EP72"")"),220)</f>
        <v>220</v>
      </c>
      <c r="J360" s="37">
        <f ca="1">IFERROR(__xludf.DUMMYFUNCTION("IMPORTRANGE(""https://docs.google.com/spreadsheets/d/1XWAQStnk-4SwqDmLtmXYiTMKHgktTP8We1SCoS47DrQ/edit?usp=sharing"",""จัดที่ดิน!Y72"")"),213)</f>
        <v>213</v>
      </c>
      <c r="K360" s="38">
        <f t="shared" ca="1" si="161"/>
        <v>96.818181818181813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IFERROR(__xludf.DUMMYFUNCTION("IMPORTRANGE(""https://docs.google.com/spreadsheets/d/1XWAQStnk-4SwqDmLtmXYiTMKHgktTP8We1SCoS47DrQ/edit?usp=sharing"",""จัดที่ดิน!Z72"")"),1437.89999999999)</f>
        <v>1437.8999999999901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IFERROR(__xludf.DUMMYFUNCTION("IMPORTRANGE(""https://docs.google.com/spreadsheets/d/1QqKyyYR6Q21VydFLVH3TRQUabQu_ym0Zz7PgGX0-kHA/edit?usp=sharing"",""แผน!EP72"")"),220)</f>
        <v>220</v>
      </c>
      <c r="J362" s="37">
        <f ca="1">IFERROR(__xludf.DUMMYFUNCTION("IMPORTRANGE(""https://docs.google.com/spreadsheets/d/1XWAQStnk-4SwqDmLtmXYiTMKHgktTP8We1SCoS47DrQ/edit?usp=sharing"",""จัดที่ดิน!AA72"")"),213)</f>
        <v>213</v>
      </c>
      <c r="K362" s="38">
        <f t="shared" ca="1" si="161"/>
        <v>96.818181818181813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IFERROR(__xludf.DUMMYFUNCTION("IMPORTRANGE(""https://docs.google.com/spreadsheets/d/1XWAQStnk-4SwqDmLtmXYiTMKHgktTP8We1SCoS47DrQ/edit?usp=sharing"",""จัดที่ดิน!AB72"")"),1437.89999999999)</f>
        <v>1437.8999999999901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360</v>
      </c>
      <c r="J364" s="452">
        <f t="shared" ca="1" si="162"/>
        <v>378</v>
      </c>
      <c r="K364" s="453">
        <f t="shared" ca="1" si="161"/>
        <v>105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IFERROR(__xludf.DUMMYFUNCTION("IMPORTRANGE(""https://docs.google.com/spreadsheets/d/1QqKyyYR6Q21VydFLVH3TRQUabQu_ym0Zz7PgGX0-kHA/edit?usp=sharing"",""แผน!EJ72"")"),40)</f>
        <v>40</v>
      </c>
      <c r="J365" s="462">
        <f ca="1">J372</f>
        <v>59</v>
      </c>
      <c r="K365" s="463">
        <f t="shared" ca="1" si="161"/>
        <v>147.5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IFERROR(__xludf.DUMMYFUNCTION("IMPORTRANGE(""https://docs.google.com/spreadsheets/d/1XWAQStnk-4SwqDmLtmXYiTMKHgktTP8We1SCoS47DrQ/edit?usp=sharing"",""จัดที่ดิน!E72"")"),89)</f>
        <v>89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IFERROR(__xludf.DUMMYFUNCTION("IMPORTRANGE(""https://docs.google.com/spreadsheets/d/1QqKyyYR6Q21VydFLVH3TRQUabQu_ym0Zz7PgGX0-kHA/edit?usp=sharing"",""แผน!EI72"")"),300)</f>
        <v>300</v>
      </c>
      <c r="J369" s="37">
        <f ca="1">IFERROR(__xludf.DUMMYFUNCTION("IMPORTRANGE(""https://docs.google.com/spreadsheets/d/1XWAQStnk-4SwqDmLtmXYiTMKHgktTP8We1SCoS47DrQ/edit?usp=sharing"",""จัดที่ดิน!F72"")"),455.8)</f>
        <v>455.8</v>
      </c>
      <c r="K369" s="38">
        <f t="shared" ca="1" si="163"/>
        <v>151.93333333333334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IFERROR(__xludf.DUMMYFUNCTION("IMPORTRANGE(""https://docs.google.com/spreadsheets/d/1QqKyyYR6Q21VydFLVH3TRQUabQu_ym0Zz7PgGX0-kHA/edit?usp=sharing"",""แผน!EJ72"")"),40)</f>
        <v>40</v>
      </c>
      <c r="J370" s="37">
        <f ca="1">IFERROR(__xludf.DUMMYFUNCTION("IMPORTRANGE(""https://docs.google.com/spreadsheets/d/1XWAQStnk-4SwqDmLtmXYiTMKHgktTP8We1SCoS47DrQ/edit?usp=sharing"",""จัดที่ดิน!G72"")"),59)</f>
        <v>59</v>
      </c>
      <c r="K370" s="38">
        <f t="shared" ca="1" si="163"/>
        <v>147.5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IFERROR(__xludf.DUMMYFUNCTION("IMPORTRANGE(""https://docs.google.com/spreadsheets/d/1XWAQStnk-4SwqDmLtmXYiTMKHgktTP8We1SCoS47DrQ/edit?usp=sharing"",""จัดที่ดิน!H72"")"),327.79)</f>
        <v>327.79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IFERROR(__xludf.DUMMYFUNCTION("IMPORTRANGE(""https://docs.google.com/spreadsheets/d/1QqKyyYR6Q21VydFLVH3TRQUabQu_ym0Zz7PgGX0-kHA/edit?usp=sharing"",""แผน!EJ72"")"),40)</f>
        <v>40</v>
      </c>
      <c r="J372" s="37">
        <f ca="1">IFERROR(__xludf.DUMMYFUNCTION("IMPORTRANGE(""https://docs.google.com/spreadsheets/d/1XWAQStnk-4SwqDmLtmXYiTMKHgktTP8We1SCoS47DrQ/edit?usp=sharing"",""จัดที่ดิน!I72"")"),59)</f>
        <v>59</v>
      </c>
      <c r="K372" s="38">
        <f t="shared" ca="1" si="163"/>
        <v>147.5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IFERROR(__xludf.DUMMYFUNCTION("IMPORTRANGE(""https://docs.google.com/spreadsheets/d/1XWAQStnk-4SwqDmLtmXYiTMKHgktTP8We1SCoS47DrQ/edit?usp=sharing"",""จัดที่ดิน!J72"")"),327.79)</f>
        <v>327.79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IFERROR(__xludf.DUMMYFUNCTION("IMPORTRANGE(""https://docs.google.com/spreadsheets/d/1QqKyyYR6Q21VydFLVH3TRQUabQu_ym0Zz7PgGX0-kHA/edit?usp=sharing"",""แผน!EU72"")"),320)</f>
        <v>320</v>
      </c>
      <c r="J374" s="462">
        <f ca="1">J381</f>
        <v>319</v>
      </c>
      <c r="K374" s="463">
        <f t="shared" ca="1" si="163"/>
        <v>99.6875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IFERROR(__xludf.DUMMYFUNCTION("IMPORTRANGE(""https://docs.google.com/spreadsheets/d/1XWAQStnk-4SwqDmLtmXYiTMKHgktTP8We1SCoS47DrQ/edit?usp=sharing"",""จัดที่ดิน!AH72"")"),289)</f>
        <v>289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IFERROR(__xludf.DUMMYFUNCTION("IMPORTRANGE(""https://docs.google.com/spreadsheets/d/1QqKyyYR6Q21VydFLVH3TRQUabQu_ym0Zz7PgGX0-kHA/edit?usp=sharing"",""แผน!ET72"")"),1800)</f>
        <v>1800</v>
      </c>
      <c r="J378" s="37">
        <f ca="1">IFERROR(__xludf.DUMMYFUNCTION("IMPORTRANGE(""https://docs.google.com/spreadsheets/d/1XWAQStnk-4SwqDmLtmXYiTMKHgktTP8We1SCoS47DrQ/edit?usp=sharing"",""จัดที่ดิน!AI72"")"),1935.55)</f>
        <v>1935.55</v>
      </c>
      <c r="K378" s="38">
        <f t="shared" ca="1" si="164"/>
        <v>107.53055555555555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IFERROR(__xludf.DUMMYFUNCTION("IMPORTRANGE(""https://docs.google.com/spreadsheets/d/1QqKyyYR6Q21VydFLVH3TRQUabQu_ym0Zz7PgGX0-kHA/edit?usp=sharing"",""แผน!EU72"")"),320)</f>
        <v>320</v>
      </c>
      <c r="J379" s="37">
        <f ca="1">IFERROR(__xludf.DUMMYFUNCTION("IMPORTRANGE(""https://docs.google.com/spreadsheets/d/1XWAQStnk-4SwqDmLtmXYiTMKHgktTP8We1SCoS47DrQ/edit?usp=sharing"",""จัดที่ดิน!AJ72"")"),319)</f>
        <v>319</v>
      </c>
      <c r="K379" s="38">
        <f t="shared" ca="1" si="164"/>
        <v>99.6875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IFERROR(__xludf.DUMMYFUNCTION("IMPORTRANGE(""https://docs.google.com/spreadsheets/d/1XWAQStnk-4SwqDmLtmXYiTMKHgktTP8We1SCoS47DrQ/edit?usp=sharing"",""จัดที่ดิน!AK72"")"),3105.93)</f>
        <v>3105.93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IFERROR(__xludf.DUMMYFUNCTION("IMPORTRANGE(""https://docs.google.com/spreadsheets/d/1QqKyyYR6Q21VydFLVH3TRQUabQu_ym0Zz7PgGX0-kHA/edit?usp=sharing"",""แผน!EU72"")"),320)</f>
        <v>320</v>
      </c>
      <c r="J381" s="37">
        <f ca="1">IFERROR(__xludf.DUMMYFUNCTION("IMPORTRANGE(""https://docs.google.com/spreadsheets/d/1XWAQStnk-4SwqDmLtmXYiTMKHgktTP8We1SCoS47DrQ/edit?usp=sharing"",""จัดที่ดิน!AL72"")"),319)</f>
        <v>319</v>
      </c>
      <c r="K381" s="38">
        <f t="shared" ca="1" si="164"/>
        <v>99.6875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IFERROR(__xludf.DUMMYFUNCTION("IMPORTRANGE(""https://docs.google.com/spreadsheets/d/1XWAQStnk-4SwqDmLtmXYiTMKHgktTP8We1SCoS47DrQ/edit?usp=sharing"",""จัดที่ดิน!AM72"")"),3105.93)</f>
        <v>3105.93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IFERROR(__xludf.DUMMYFUNCTION("IMPORTRANGE(""https://docs.google.com/spreadsheets/d/1QqKyyYR6Q21VydFLVH3TRQUabQu_ym0Zz7PgGX0-kHA/edit?usp=sharing"",""แผน!EW72"")"),40)</f>
        <v>40</v>
      </c>
      <c r="J385" s="365">
        <f ca="1">IFERROR(__xludf.DUMMYFUNCTION("IMPORTRANGE(""https://docs.google.com/spreadsheets/d/1XWAQStnk-4SwqDmLtmXYiTMKHgktTP8We1SCoS47DrQ/edit?usp=sharing"",""จัดที่ดิน!AP72"")"),85)</f>
        <v>85</v>
      </c>
      <c r="K385" s="472">
        <f ca="1">IF(I385&gt;0,J385*100/I385,0)</f>
        <v>212.5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IFERROR(__xludf.DUMMYFUNCTION("IMPORTRANGE(""https://docs.google.com/spreadsheets/d/1MeEWN-I1oV_STSDYn1IFDPWt_1FKiwhDph83XaGc0o0/edit?usp=sharing"",""งบพรบ!FG72"")"),0)</f>
        <v>0</v>
      </c>
      <c r="M394" s="45">
        <f ca="1">IFERROR(__xludf.DUMMYFUNCTION("IMPORTRANGE(""https://docs.google.com/spreadsheets/d/1MeEWN-I1oV_STSDYn1IFDPWt_1FKiwhDph83XaGc0o0/edit?usp=sharing"",""งบพรบ!FL72"")"),0)</f>
        <v>0</v>
      </c>
      <c r="N394" s="45">
        <f ca="1">IFERROR(__xludf.DUMMYFUNCTION("IMPORTRANGE(""https://docs.google.com/spreadsheets/d/1MeEWN-I1oV_STSDYn1IFDPWt_1FKiwhDph83XaGc0o0/edit?usp=sharing"",""งบพรบ!FN72"")"),0)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IFERROR(__xludf.DUMMYFUNCTION("IMPORTRANGE(""https://docs.google.com/spreadsheets/d/1MeEWN-I1oV_STSDYn1IFDPWt_1FKiwhDph83XaGc0o0/edit?usp=sharing"",""งบพรบ!FJ72"")"),0)</f>
        <v>0</v>
      </c>
      <c r="M397" s="45">
        <f ca="1">IFERROR(__xludf.DUMMYFUNCTION("IMPORTRANGE(""https://docs.google.com/spreadsheets/d/1MeEWN-I1oV_STSDYn1IFDPWt_1FKiwhDph83XaGc0o0/edit?usp=sharing"",""งบพรบ!FM72"")"),0)</f>
        <v>0</v>
      </c>
      <c r="N397" s="45">
        <f ca="1">IFERROR(__xludf.DUMMYFUNCTION("IMPORTRANGE(""https://docs.google.com/spreadsheets/d/1MeEWN-I1oV_STSDYn1IFDPWt_1FKiwhDph83XaGc0o0/edit?usp=sharing"",""งบพรบ!FO72"")"),0)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IFERROR(__xludf.DUMMYFUNCTION("IMPORTRANGE(""https://docs.google.com/spreadsheets/d/1MeEWN-I1oV_STSDYn1IFDPWt_1FKiwhDph83XaGc0o0/edit?usp=sharing"",""งบพรบ!FQ72"")"),0)</f>
        <v>0</v>
      </c>
      <c r="M407" s="45">
        <f ca="1">IFERROR(__xludf.DUMMYFUNCTION("IMPORTRANGE(""https://docs.google.com/spreadsheets/d/1MeEWN-I1oV_STSDYn1IFDPWt_1FKiwhDph83XaGc0o0/edit?usp=sharing"",""งบพรบ!FV72"")"),0)</f>
        <v>0</v>
      </c>
      <c r="N407" s="45">
        <f ca="1">IFERROR(__xludf.DUMMYFUNCTION("IMPORTRANGE(""https://docs.google.com/spreadsheets/d/1MeEWN-I1oV_STSDYn1IFDPWt_1FKiwhDph83XaGc0o0/edit?usp=sharing"",""งบพรบ!FX72"")"),0)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IFERROR(__xludf.DUMMYFUNCTION("IMPORTRANGE(""https://docs.google.com/spreadsheets/d/1MeEWN-I1oV_STSDYn1IFDPWt_1FKiwhDph83XaGc0o0/edit?usp=sharing"",""งบพรบ!FT72"")"),0)</f>
        <v>0</v>
      </c>
      <c r="M410" s="45">
        <f ca="1">IFERROR(__xludf.DUMMYFUNCTION("IMPORTRANGE(""https://docs.google.com/spreadsheets/d/1MeEWN-I1oV_STSDYn1IFDPWt_1FKiwhDph83XaGc0o0/edit?usp=sharing"",""งบพรบ!FW72"")"),0)</f>
        <v>0</v>
      </c>
      <c r="N410" s="45">
        <f ca="1">IFERROR(__xludf.DUMMYFUNCTION("IMPORTRANGE(""https://docs.google.com/spreadsheets/d/1MeEWN-I1oV_STSDYn1IFDPWt_1FKiwhDph83XaGc0o0/edit?usp=sharing"",""งบพรบ!FY72"")"),0)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1760768</v>
      </c>
      <c r="M414" s="518">
        <f t="shared" ca="1" si="181"/>
        <v>1753178</v>
      </c>
      <c r="N414" s="518">
        <f t="shared" si="181"/>
        <v>1635153.07</v>
      </c>
      <c r="O414" s="518">
        <f ca="1">IF(L414&gt;0,N414*100/L414,0)</f>
        <v>92.865901129507122</v>
      </c>
      <c r="P414" s="518">
        <f ca="1">IF(M414&gt;0,N414*100/M414,0)</f>
        <v>93.267943699955168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60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205500</v>
      </c>
      <c r="M419" s="154">
        <f t="shared" ca="1" si="184"/>
        <v>197910</v>
      </c>
      <c r="N419" s="154">
        <f t="shared" si="184"/>
        <v>202910</v>
      </c>
      <c r="O419" s="154">
        <f t="shared" ref="O419:O424" ca="1" si="185">IF(L419&gt;0,N419*100/L419,0)</f>
        <v>98.739659367396598</v>
      </c>
      <c r="P419" s="154">
        <f t="shared" ref="P419:P424" ca="1" si="186">IF(M419&gt;0,N419*100/M419,0)</f>
        <v>102.52640088929311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205500</v>
      </c>
      <c r="M421" s="45">
        <f t="shared" ca="1" si="187"/>
        <v>197910</v>
      </c>
      <c r="N421" s="45">
        <f t="shared" si="187"/>
        <v>202910</v>
      </c>
      <c r="O421" s="45">
        <f t="shared" ca="1" si="185"/>
        <v>98.739659367396598</v>
      </c>
      <c r="P421" s="45">
        <f t="shared" ca="1" si="186"/>
        <v>102.52640088929311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205500</v>
      </c>
      <c r="M422" s="38">
        <f t="shared" ca="1" si="188"/>
        <v>197910</v>
      </c>
      <c r="N422" s="38">
        <f t="shared" si="188"/>
        <v>202910</v>
      </c>
      <c r="O422" s="38">
        <f t="shared" ca="1" si="185"/>
        <v>98.739659367396598</v>
      </c>
      <c r="P422" s="38">
        <f t="shared" ca="1" si="186"/>
        <v>102.52640088929311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IFERROR(__xludf.DUMMYFUNCTION("IMPORTRANGE(""https://docs.google.com/spreadsheets/d/1QqKyyYR6Q21VydFLVH3TRQUabQu_ym0Zz7PgGX0-kHA/edit?usp=sharing"",""แผน!EY72"")"),205500)</f>
        <v>205500</v>
      </c>
      <c r="M424" s="45">
        <f ca="1">L424-7590</f>
        <v>197910</v>
      </c>
      <c r="N424" s="45">
        <f>N425+N426+N427+N428</f>
        <v>202910</v>
      </c>
      <c r="O424" s="45">
        <f t="shared" ca="1" si="185"/>
        <v>98.739659367396598</v>
      </c>
      <c r="P424" s="45">
        <f t="shared" ca="1" si="186"/>
        <v>102.52640088929311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f>158340+9310+5000</f>
        <v>172650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>3080+17600+9580</f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60</v>
      </c>
      <c r="J433" s="190">
        <f ca="1">IF(AND(J435=I435,J437=I437,J439=I439),I437+I439,IF(AND(J435=I437,J437=I437),I437,IF(AND(J435=I439,J439=I439),I439,0)))</f>
        <v>60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IFERROR(__xludf.DUMMYFUNCTION("IMPORTRANGE(""https://docs.google.com/spreadsheets/d/1QqKyyYR6Q21VydFLVH3TRQUabQu_ym0Zz7PgGX0-kHA/edit?usp=sharing"",""แผน!FC72"")"),60)</f>
        <v>60</v>
      </c>
      <c r="J435" s="546">
        <v>60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IFERROR(__xludf.DUMMYFUNCTION("IMPORTRANGE(""https://docs.google.com/spreadsheets/d/1QqKyyYR6Q21VydFLVH3TRQUabQu_ym0Zz7PgGX0-kHA/edit?usp=sharing"",""แผน!FD72"")"),40)</f>
        <v>40</v>
      </c>
      <c r="J437" s="546">
        <v>40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IFERROR(__xludf.DUMMYFUNCTION("IMPORTRANGE(""https://docs.google.com/spreadsheets/d/1QqKyyYR6Q21VydFLVH3TRQUabQu_ym0Zz7PgGX0-kHA/edit?usp=sharing"",""แผน!FE72"")"),1)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IFERROR(__xludf.DUMMYFUNCTION("IMPORTRANGE(""https://docs.google.com/spreadsheets/d/1QqKyyYR6Q21VydFLVH3TRQUabQu_ym0Zz7PgGX0-kHA/edit?usp=sharing"",""แผน!FF72"")"),20)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40</v>
      </c>
      <c r="J442" s="552">
        <f t="shared" si="195"/>
        <v>40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60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309180</v>
      </c>
      <c r="M444" s="191">
        <f t="shared" ca="1" si="197"/>
        <v>309180</v>
      </c>
      <c r="N444" s="191">
        <f t="shared" si="197"/>
        <v>282313.24</v>
      </c>
      <c r="O444" s="191">
        <f t="shared" ref="O444:O449" ca="1" si="198">IF(L444&gt;0,N444*100/L444,0)</f>
        <v>91.310317614334693</v>
      </c>
      <c r="P444" s="191">
        <f t="shared" ref="P444:P449" ca="1" si="199">IF(M444&gt;0,N444*100/M444,0)</f>
        <v>91.310317614334693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309180</v>
      </c>
      <c r="M446" s="45">
        <f t="shared" ca="1" si="200"/>
        <v>309180</v>
      </c>
      <c r="N446" s="45">
        <f t="shared" si="200"/>
        <v>282313.24</v>
      </c>
      <c r="O446" s="45">
        <f t="shared" ca="1" si="198"/>
        <v>91.310317614334693</v>
      </c>
      <c r="P446" s="45">
        <f t="shared" ca="1" si="199"/>
        <v>91.310317614334693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309180</v>
      </c>
      <c r="M447" s="38">
        <f t="shared" ca="1" si="201"/>
        <v>309180</v>
      </c>
      <c r="N447" s="38">
        <f t="shared" si="201"/>
        <v>282313.24</v>
      </c>
      <c r="O447" s="38">
        <f t="shared" ca="1" si="198"/>
        <v>91.310317614334693</v>
      </c>
      <c r="P447" s="38">
        <f t="shared" ca="1" si="199"/>
        <v>91.310317614334693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IFERROR(__xludf.DUMMYFUNCTION("IMPORTRANGE(""https://docs.google.com/spreadsheets/d/1QqKyyYR6Q21VydFLVH3TRQUabQu_ym0Zz7PgGX0-kHA/edit?usp=sharing"",""แผน!FJ72"")"),309180)</f>
        <v>309180</v>
      </c>
      <c r="M449" s="45">
        <f ca="1">L449</f>
        <v>309180</v>
      </c>
      <c r="N449" s="45">
        <f>N450+N451+N452+N453</f>
        <v>282313.24</v>
      </c>
      <c r="O449" s="45">
        <f t="shared" ca="1" si="198"/>
        <v>91.310317614334693</v>
      </c>
      <c r="P449" s="45">
        <f t="shared" ca="1" si="199"/>
        <v>91.310317614334693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54400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70500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116133.24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f>13630+5000+2420+13250+6980</f>
        <v>41280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IFERROR(__xludf.DUMMYFUNCTION("IMPORTRANGE(""https://docs.google.com/spreadsheets/d/1QqKyyYR6Q21VydFLVH3TRQUabQu_ym0Zz7PgGX0-kHA/edit?usp=sharing"",""แผน!FN72"")"),40)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IFERROR(__xludf.DUMMYFUNCTION("IMPORTRANGE(""https://docs.google.com/spreadsheets/d/1QqKyyYR6Q21VydFLVH3TRQUabQu_ym0Zz7PgGX0-kHA/edit?usp=sharing"",""แผน!FO72"")"),60)</f>
        <v>60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IFERROR(__xludf.DUMMYFUNCTION("IMPORTRANGE(""https://docs.google.com/spreadsheets/d/1QqKyyYR6Q21VydFLVH3TRQUabQu_ym0Zz7PgGX0-kHA/edit?usp=sharing"",""แผน!FO72"")"),60)</f>
        <v>60</v>
      </c>
      <c r="J463" s="181">
        <v>60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IFERROR(__xludf.DUMMYFUNCTION("IMPORTRANGE(""https://docs.google.com/spreadsheets/d/1QqKyyYR6Q21VydFLVH3TRQUabQu_ym0Zz7PgGX0-kHA/edit?usp=sharing"",""แผน!FN72"")"),40)</f>
        <v>40</v>
      </c>
      <c r="J464" s="181">
        <v>40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IFERROR(__xludf.DUMMYFUNCTION("IMPORTRANGE(""https://docs.google.com/spreadsheets/d/1QqKyyYR6Q21VydFLVH3TRQUabQu_ym0Zz7PgGX0-kHA/edit?usp=sharing"",""แผน!FX72"")"),41)</f>
        <v>41</v>
      </c>
      <c r="J465" s="552">
        <f>J485+J489+J492</f>
        <v>41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IFERROR(__xludf.DUMMYFUNCTION("IMPORTRANGE(""https://docs.google.com/spreadsheets/d/1QqKyyYR6Q21VydFLVH3TRQUabQu_ym0Zz7PgGX0-kHA/edit?usp=sharing"",""แผน!FW72"")"),400)</f>
        <v>400</v>
      </c>
      <c r="J466" s="533">
        <f>J495+J498</f>
        <v>400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330863</v>
      </c>
      <c r="M467" s="191">
        <f t="shared" ca="1" si="206"/>
        <v>330863</v>
      </c>
      <c r="N467" s="191">
        <f t="shared" si="206"/>
        <v>330863</v>
      </c>
      <c r="O467" s="191">
        <f t="shared" ref="O467:O472" ca="1" si="207">IF(L467&gt;0,N467*100/L467,0)</f>
        <v>100</v>
      </c>
      <c r="P467" s="191">
        <f t="shared" ref="P467:P472" ca="1" si="208">IF(M467&gt;0,N467*100/M467,0)</f>
        <v>100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330863</v>
      </c>
      <c r="M469" s="45">
        <f t="shared" ca="1" si="209"/>
        <v>330863</v>
      </c>
      <c r="N469" s="45">
        <f t="shared" si="209"/>
        <v>330863</v>
      </c>
      <c r="O469" s="45">
        <f t="shared" ca="1" si="207"/>
        <v>100</v>
      </c>
      <c r="P469" s="45">
        <f t="shared" ca="1" si="208"/>
        <v>100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330863</v>
      </c>
      <c r="M470" s="38">
        <f t="shared" ca="1" si="210"/>
        <v>330863</v>
      </c>
      <c r="N470" s="38">
        <f t="shared" si="210"/>
        <v>330863</v>
      </c>
      <c r="O470" s="38">
        <f t="shared" ca="1" si="207"/>
        <v>100</v>
      </c>
      <c r="P470" s="38">
        <f t="shared" ca="1" si="208"/>
        <v>100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IFERROR(__xludf.DUMMYFUNCTION("IMPORTRANGE(""https://docs.google.com/spreadsheets/d/1QqKyyYR6Q21VydFLVH3TRQUabQu_ym0Zz7PgGX0-kHA/edit?usp=sharing"",""แผน!FS72"")"),330863)</f>
        <v>330863</v>
      </c>
      <c r="M472" s="45">
        <f ca="1">L472</f>
        <v>330863</v>
      </c>
      <c r="N472" s="45">
        <f>N473+N474+N475+N476</f>
        <v>330863</v>
      </c>
      <c r="O472" s="45">
        <f t="shared" ca="1" si="207"/>
        <v>100</v>
      </c>
      <c r="P472" s="45">
        <f t="shared" ca="1" si="208"/>
        <v>100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f>48603+3000</f>
        <v>51603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252000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>15036+1350+710+6674+3490</f>
        <v>27260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IFERROR(__xludf.DUMMYFUNCTION("IMPORTRANGE(""https://docs.google.com/spreadsheets/d/1QqKyyYR6Q21VydFLVH3TRQUabQu_ym0Zz7PgGX0-kHA/edit?usp=sharing"",""แผน!FY72"")"),360)</f>
        <v>360</v>
      </c>
      <c r="J483" s="181">
        <v>360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36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IFERROR(__xludf.DUMMYFUNCTION("IMPORTRANGE(""https://docs.google.com/spreadsheets/d/1QqKyyYR6Q21VydFLVH3TRQUabQu_ym0Zz7PgGX0-kHA/edit?usp=sharing"",""แผน!FZ72"")"),36)</f>
        <v>36</v>
      </c>
      <c r="J485" s="181">
        <v>36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IFERROR(__xludf.DUMMYFUNCTION("IMPORTRANGE(""https://docs.google.com/spreadsheets/d/1QqKyyYR6Q21VydFLVH3TRQUabQu_ym0Zz7PgGX0-kHA/edit?usp=sharing"",""แผน!GA72"")"),40)</f>
        <v>40</v>
      </c>
      <c r="J487" s="181">
        <v>40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4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IFERROR(__xludf.DUMMYFUNCTION("IMPORTRANGE(""https://docs.google.com/spreadsheets/d/1QqKyyYR6Q21VydFLVH3TRQUabQu_ym0Zz7PgGX0-kHA/edit?usp=sharing"",""แผน!GB72"")"),4)</f>
        <v>4</v>
      </c>
      <c r="J489" s="181">
        <v>4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IFERROR(__xludf.DUMMYFUNCTION("IMPORTRANGE(""https://docs.google.com/spreadsheets/d/1QqKyyYR6Q21VydFLVH3TRQUabQu_ym0Zz7PgGX0-kHA/edit?usp=sharing"",""แผน!GC72"")"),1)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IFERROR(__xludf.DUMMYFUNCTION("IMPORTRANGE(""https://docs.google.com/spreadsheets/d/1QqKyyYR6Q21VydFLVH3TRQUabQu_ym0Zz7PgGX0-kHA/edit?usp=sharing"",""แผน!FY72"")"),360)</f>
        <v>360</v>
      </c>
      <c r="J495" s="181">
        <v>360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36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IFERROR(__xludf.DUMMYFUNCTION("IMPORTRANGE(""https://docs.google.com/spreadsheets/d/1QqKyyYR6Q21VydFLVH3TRQUabQu_ym0Zz7PgGX0-kHA/edit?usp=sharing"",""แผน!GA72"")"),40)</f>
        <v>40</v>
      </c>
      <c r="J498" s="181">
        <v>40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4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IFERROR(__xludf.DUMMYFUNCTION("IMPORTRANGE(""https://docs.google.com/spreadsheets/d/1QqKyyYR6Q21VydFLVH3TRQUabQu_ym0Zz7PgGX0-kHA/edit?usp=sharing"",""แผน!GQ72"")"),0)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IFERROR(__xludf.DUMMYFUNCTION("IMPORTRANGE(""https://docs.google.com/spreadsheets/d/1QqKyyYR6Q21VydFLVH3TRQUabQu_ym0Zz7PgGX0-kHA/edit?usp=sharing"",""แผน!GU72"")"),0)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IFERROR(__xludf.DUMMYFUNCTION("IMPORTRANGE(""https://docs.google.com/spreadsheets/d/1QqKyyYR6Q21VydFLVH3TRQUabQu_ym0Zz7PgGX0-kHA/edit?usp=sharing"",""แผน!GV72"")"),0)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IFERROR(__xludf.DUMMYFUNCTION("IMPORTRANGE(""https://docs.google.com/spreadsheets/d/1QqKyyYR6Q21VydFLVH3TRQUabQu_ym0Zz7PgGX0-kHA/edit?usp=sharing"",""แผน!GY72"")"),0)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IFERROR(__xludf.DUMMYFUNCTION("IMPORTRANGE(""https://docs.google.com/spreadsheets/d/1QqKyyYR6Q21VydFLVH3TRQUabQu_ym0Zz7PgGX0-kHA/edit?usp=sharing"",""แผน!GZ72"")"),0)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14728</v>
      </c>
      <c r="J543" s="635">
        <f t="shared" si="235"/>
        <v>14728</v>
      </c>
      <c r="K543" s="636">
        <f t="shared" ca="1" si="234"/>
        <v>100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496730</v>
      </c>
      <c r="M544" s="154">
        <f t="shared" ca="1" si="236"/>
        <v>496730</v>
      </c>
      <c r="N544" s="154">
        <f t="shared" si="236"/>
        <v>454983.58999999997</v>
      </c>
      <c r="O544" s="154">
        <f t="shared" ref="O544:O549" ca="1" si="237">IF(L544&gt;0,N544*100/L544,0)</f>
        <v>91.595754232681742</v>
      </c>
      <c r="P544" s="154">
        <f t="shared" ref="P544:P549" ca="1" si="238">IF(M544&gt;0,N544*100/M544,0)</f>
        <v>91.595754232681742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496730</v>
      </c>
      <c r="M546" s="45">
        <f t="shared" ca="1" si="240"/>
        <v>496730</v>
      </c>
      <c r="N546" s="45">
        <f t="shared" si="240"/>
        <v>454983.58999999997</v>
      </c>
      <c r="O546" s="45">
        <f t="shared" ca="1" si="237"/>
        <v>91.595754232681742</v>
      </c>
      <c r="P546" s="45">
        <f t="shared" ca="1" si="238"/>
        <v>91.595754232681742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496730</v>
      </c>
      <c r="M547" s="38">
        <f t="shared" ca="1" si="241"/>
        <v>496730</v>
      </c>
      <c r="N547" s="38">
        <f t="shared" si="241"/>
        <v>454983.58999999997</v>
      </c>
      <c r="O547" s="38">
        <f t="shared" ca="1" si="237"/>
        <v>91.595754232681742</v>
      </c>
      <c r="P547" s="38">
        <f t="shared" ca="1" si="238"/>
        <v>91.595754232681742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IFERROR(__xludf.DUMMYFUNCTION("IMPORTRANGE(""https://docs.google.com/spreadsheets/d/1QqKyyYR6Q21VydFLVH3TRQUabQu_ym0Zz7PgGX0-kHA/edit?usp=sharing"",""แผน!HB72"")"),496730)</f>
        <v>496730</v>
      </c>
      <c r="M549" s="45">
        <f ca="1">L549</f>
        <v>496730</v>
      </c>
      <c r="N549" s="45">
        <f>N550+N551+N552+N553+N554</f>
        <v>454983.58999999997</v>
      </c>
      <c r="O549" s="45">
        <f t="shared" ca="1" si="237"/>
        <v>91.595754232681742</v>
      </c>
      <c r="P549" s="45">
        <f t="shared" ca="1" si="238"/>
        <v>91.595754232681742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114740.24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>60240+38500+3570+13580+7380+23910.35+54273+119930+18860</f>
        <v>340243.35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14728</v>
      </c>
      <c r="J559" s="627">
        <f t="shared" si="245"/>
        <v>14728</v>
      </c>
      <c r="K559" s="628">
        <f t="shared" ref="K559:K561" ca="1" si="246">IF(I559&gt;0,J559*100/I559,0)</f>
        <v>100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IFERROR(__xludf.DUMMYFUNCTION("IMPORTRANGE(""https://docs.google.com/spreadsheets/d/1QqKyyYR6Q21VydFLVH3TRQUabQu_ym0Zz7PgGX0-kHA/edit?usp=sharing"",""แผน!HH72"")"),14728)</f>
        <v>14728</v>
      </c>
      <c r="J560" s="189">
        <f t="shared" ref="J560:J561" si="247">J562+J564+J566</f>
        <v>14728</v>
      </c>
      <c r="K560" s="390">
        <f t="shared" ca="1" si="246"/>
        <v>100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IFERROR(__xludf.DUMMYFUNCTION("IMPORTRANGE(""https://docs.google.com/spreadsheets/d/1QqKyyYR6Q21VydFLVH3TRQUabQu_ym0Zz7PgGX0-kHA/edit?usp=sharing"",""แผน!HG72"")"),1477)</f>
        <v>1477</v>
      </c>
      <c r="J561" s="189">
        <f t="shared" si="247"/>
        <v>1477</v>
      </c>
      <c r="K561" s="390">
        <f t="shared" ca="1" si="246"/>
        <v>100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10728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1128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3628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318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372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31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IFERROR(__xludf.DUMMYFUNCTION("IMPORTRANGE(""https://docs.google.com/spreadsheets/d/1QqKyyYR6Q21VydFLVH3TRQUabQu_ym0Zz7PgGX0-kHA/edit?usp=sharing"",""แผน!HH72"")"),14728)</f>
        <v>14728</v>
      </c>
      <c r="J568" s="190">
        <f t="shared" ref="J568:J569" si="248">J570+J572+J574</f>
        <v>14728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IFERROR(__xludf.DUMMYFUNCTION("IMPORTRANGE(""https://docs.google.com/spreadsheets/d/1QqKyyYR6Q21VydFLVH3TRQUabQu_ym0Zz7PgGX0-kHA/edit?usp=sharing"",""แผน!HG72"")"),1477)</f>
        <v>1477</v>
      </c>
      <c r="J569" s="190">
        <f t="shared" si="248"/>
        <v>1477</v>
      </c>
      <c r="K569" s="390">
        <f t="shared" ca="1" si="249"/>
        <v>100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839">
        <v>11223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839">
        <v>1173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839">
        <v>2745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839">
        <v>242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839">
        <v>760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839">
        <v>62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IFERROR(__xludf.DUMMYFUNCTION("IMPORTRANGE(""https://docs.google.com/spreadsheets/d/1QqKyyYR6Q21VydFLVH3TRQUabQu_ym0Zz7PgGX0-kHA/edit?usp=sharing"",""แผน!HH72"")"),14728)</f>
        <v>14728</v>
      </c>
      <c r="J576" s="190">
        <f t="shared" ref="J576:J577" si="250">J578+J580+J582+J588+J590</f>
        <v>14728</v>
      </c>
      <c r="K576" s="390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IFERROR(__xludf.DUMMYFUNCTION("IMPORTRANGE(""https://docs.google.com/spreadsheets/d/1QqKyyYR6Q21VydFLVH3TRQUabQu_ym0Zz7PgGX0-kHA/edit?usp=sharing"",""แผน!HG72"")"),1477)</f>
        <v>1477</v>
      </c>
      <c r="J577" s="190">
        <f t="shared" si="250"/>
        <v>1477</v>
      </c>
      <c r="K577" s="390">
        <f t="shared" ca="1" si="251"/>
        <v>100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11223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1173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2745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242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760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62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760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62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4157.6899999999996</v>
      </c>
      <c r="J592" s="627">
        <f t="shared" si="253"/>
        <v>2726</v>
      </c>
      <c r="K592" s="628">
        <f t="shared" ref="K592:K594" ca="1" si="254">IF(I592&gt;0,J592*100/I592,0)</f>
        <v>65.565253782749565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IFERROR(__xludf.DUMMYFUNCTION("IMPORTRANGE(""https://docs.google.com/spreadsheets/d/1QqKyyYR6Q21VydFLVH3TRQUabQu_ym0Zz7PgGX0-kHA/edit?usp=sharing"",""แผน!HJ72"")"),4157.69)</f>
        <v>4157.6899999999996</v>
      </c>
      <c r="J593" s="189">
        <f t="shared" ref="J593:J594" si="255">J595+J603+J609</f>
        <v>2726</v>
      </c>
      <c r="K593" s="390">
        <f t="shared" ca="1" si="254"/>
        <v>65.565253782749565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IFERROR(__xludf.DUMMYFUNCTION("IMPORTRANGE(""https://docs.google.com/spreadsheets/d/1QqKyyYR6Q21VydFLVH3TRQUabQu_ym0Zz7PgGX0-kHA/edit?usp=sharing"",""แผน!HI72"")"),489)</f>
        <v>489</v>
      </c>
      <c r="J594" s="189">
        <f t="shared" si="255"/>
        <v>302</v>
      </c>
      <c r="K594" s="390">
        <f t="shared" ca="1" si="254"/>
        <v>61.758691206543965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1313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164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1002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130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311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34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1413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138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1413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138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IFERROR(__xludf.DUMMYFUNCTION("IMPORTRANGE(""https://docs.google.com/spreadsheets/d/1QqKyyYR6Q21VydFLVH3TRQUabQu_ym0Zz7PgGX0-kHA/edit?usp=sharing"",""แผน!HL72"")"),8)</f>
        <v>8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IFERROR(__xludf.DUMMYFUNCTION("IMPORTRANGE(""https://docs.google.com/spreadsheets/d/1QqKyyYR6Q21VydFLVH3TRQUabQu_ym0Zz7PgGX0-kHA/edit?usp=sharing"",""แผน!HK72"")"),3)</f>
        <v>3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100</v>
      </c>
      <c r="J628" s="683">
        <f t="shared" ca="1" si="262"/>
        <v>103</v>
      </c>
      <c r="K628" s="684">
        <f ca="1">IF(I628&gt;0,J628*100/I628,0)</f>
        <v>103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381515</v>
      </c>
      <c r="M629" s="191">
        <f t="shared" ca="1" si="263"/>
        <v>381515</v>
      </c>
      <c r="N629" s="191">
        <f t="shared" si="263"/>
        <v>353835.24</v>
      </c>
      <c r="O629" s="191">
        <f t="shared" ref="O629:O634" ca="1" si="264">IF(L629&gt;0,N629*100/L629,0)</f>
        <v>92.744778055908682</v>
      </c>
      <c r="P629" s="191">
        <f t="shared" ref="P629:P634" ca="1" si="265">IF(M629&gt;0,N629*100/M629,0)</f>
        <v>92.744778055908682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381515</v>
      </c>
      <c r="M631" s="45">
        <f t="shared" ca="1" si="266"/>
        <v>381515</v>
      </c>
      <c r="N631" s="45">
        <f t="shared" si="266"/>
        <v>353835.24</v>
      </c>
      <c r="O631" s="45">
        <f t="shared" ca="1" si="264"/>
        <v>92.744778055908682</v>
      </c>
      <c r="P631" s="45">
        <f t="shared" ca="1" si="265"/>
        <v>92.744778055908682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381515</v>
      </c>
      <c r="M632" s="38">
        <f t="shared" ca="1" si="267"/>
        <v>381515</v>
      </c>
      <c r="N632" s="38">
        <f t="shared" si="267"/>
        <v>353835.24</v>
      </c>
      <c r="O632" s="38">
        <f t="shared" ca="1" si="264"/>
        <v>92.744778055908682</v>
      </c>
      <c r="P632" s="38">
        <f t="shared" ca="1" si="265"/>
        <v>92.744778055908682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IFERROR(__xludf.DUMMYFUNCTION("IMPORTRANGE(""https://docs.google.com/spreadsheets/d/1QqKyyYR6Q21VydFLVH3TRQUabQu_ym0Zz7PgGX0-kHA/edit?usp=sharing"",""แผน!HN72"")"),381515)</f>
        <v>381515</v>
      </c>
      <c r="M634" s="45">
        <f ca="1">L634</f>
        <v>381515</v>
      </c>
      <c r="N634" s="45">
        <f>N635+N636+N637+N638</f>
        <v>353835.24</v>
      </c>
      <c r="O634" s="45">
        <f t="shared" ca="1" si="264"/>
        <v>92.744778055908682</v>
      </c>
      <c r="P634" s="45">
        <f t="shared" ca="1" si="265"/>
        <v>92.744778055908682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116133.24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f>53500+4000+79430+800+2900+30272+66800</f>
        <v>237702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IFERROR(__xludf.DUMMYFUNCTION("IMPORTRANGE(""https://docs.google.com/spreadsheets/d/1XWAQStnk-4SwqDmLtmXYiTMKHgktTP8We1SCoS47DrQ/edit?usp=sharing"",""จัดที่ดิน!AS72"")"),125)</f>
        <v>125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IFERROR(__xludf.DUMMYFUNCTION("IMPORTRANGE(""https://docs.google.com/spreadsheets/d/1XWAQStnk-4SwqDmLtmXYiTMKHgktTP8We1SCoS47DrQ/edit?usp=sharing"",""จัดที่ดิน!AT72"")"),76.66)</f>
        <v>76.66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IFERROR(__xludf.DUMMYFUNCTION("IMPORTRANGE(""https://docs.google.com/spreadsheets/d/1QqKyyYR6Q21VydFLVH3TRQUabQu_ym0Zz7PgGX0-kHA/edit?usp=sharing"",""แผน!HS72"")"),100)</f>
        <v>100</v>
      </c>
      <c r="J647" s="37">
        <f ca="1">IFERROR(__xludf.DUMMYFUNCTION("IMPORTRANGE(""https://docs.google.com/spreadsheets/d/1XWAQStnk-4SwqDmLtmXYiTMKHgktTP8We1SCoS47DrQ/edit?usp=sharing"",""จัดที่ดิน!AU72"")"),138)</f>
        <v>138</v>
      </c>
      <c r="K647" s="162">
        <f t="shared" ca="1" si="271"/>
        <v>138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IFERROR(__xludf.DUMMYFUNCTION("IMPORTRANGE(""https://docs.google.com/spreadsheets/d/1XWAQStnk-4SwqDmLtmXYiTMKHgktTP8We1SCoS47DrQ/edit?usp=sharing"",""จัดที่ดิน!AV72"")"),87.63)</f>
        <v>87.63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IFERROR(__xludf.DUMMYFUNCTION("IMPORTRANGE(""https://docs.google.com/spreadsheets/d/1QqKyyYR6Q21VydFLVH3TRQUabQu_ym0Zz7PgGX0-kHA/edit?usp=sharing"",""แผน!HS72"")"),100)</f>
        <v>100</v>
      </c>
      <c r="J649" s="37">
        <f ca="1">IFERROR(__xludf.DUMMYFUNCTION("IMPORTRANGE(""https://docs.google.com/spreadsheets/d/1XWAQStnk-4SwqDmLtmXYiTMKHgktTP8We1SCoS47DrQ/edit?usp=sharing"",""จัดที่ดิน!AW72"")"),106)</f>
        <v>106</v>
      </c>
      <c r="K649" s="162">
        <f t="shared" ca="1" si="271"/>
        <v>106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IFERROR(__xludf.DUMMYFUNCTION("IMPORTRANGE(""https://docs.google.com/spreadsheets/d/1XWAQStnk-4SwqDmLtmXYiTMKHgktTP8We1SCoS47DrQ/edit?usp=sharing"",""จัดที่ดิน!AX72"")"),57.49)</f>
        <v>57.49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IFERROR(__xludf.DUMMYFUNCTION("IMPORTRANGE(""https://docs.google.com/spreadsheets/d/1QqKyyYR6Q21VydFLVH3TRQUabQu_ym0Zz7PgGX0-kHA/edit?usp=sharing"",""แผน!HS72"")"),100)</f>
        <v>100</v>
      </c>
      <c r="J651" s="37">
        <f ca="1">IFERROR(__xludf.DUMMYFUNCTION("IMPORTRANGE(""https://docs.google.com/spreadsheets/d/1XWAQStnk-4SwqDmLtmXYiTMKHgktTP8We1SCoS47DrQ/edit?usp=sharing"",""จัดที่ดิน!AY72"")"),103)</f>
        <v>103</v>
      </c>
      <c r="K651" s="162">
        <f t="shared" ca="1" si="271"/>
        <v>103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IFERROR(__xludf.DUMMYFUNCTION("IMPORTRANGE(""https://docs.google.com/spreadsheets/d/1XWAQStnk-4SwqDmLtmXYiTMKHgktTP8We1SCoS47DrQ/edit?usp=sharing"",""จัดที่ดิน!AZ72"")"),55.5775)</f>
        <v>55.577500000000001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100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12400</v>
      </c>
      <c r="M655" s="191">
        <f t="shared" ca="1" si="273"/>
        <v>12400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ca="1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12400</v>
      </c>
      <c r="M657" s="45">
        <f t="shared" ca="1" si="276"/>
        <v>12400</v>
      </c>
      <c r="N657" s="45">
        <f t="shared" si="276"/>
        <v>0</v>
      </c>
      <c r="O657" s="45">
        <f t="shared" ca="1" si="274"/>
        <v>0</v>
      </c>
      <c r="P657" s="45">
        <f t="shared" ca="1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12400</v>
      </c>
      <c r="M658" s="38">
        <f t="shared" ca="1" si="277"/>
        <v>12400</v>
      </c>
      <c r="N658" s="38">
        <f t="shared" si="277"/>
        <v>0</v>
      </c>
      <c r="O658" s="38">
        <f t="shared" ca="1" si="274"/>
        <v>0</v>
      </c>
      <c r="P658" s="38">
        <f t="shared" ca="1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IFERROR(__xludf.DUMMYFUNCTION("IMPORTRANGE(""https://docs.google.com/spreadsheets/d/1QqKyyYR6Q21VydFLVH3TRQUabQu_ym0Zz7PgGX0-kHA/edit?usp=sharing"",""แผน!HV72"")"),12400)</f>
        <v>12400</v>
      </c>
      <c r="M660" s="45">
        <f ca="1">L660</f>
        <v>12400</v>
      </c>
      <c r="N660" s="45">
        <f>N661+N662+N663+N664</f>
        <v>0</v>
      </c>
      <c r="O660" s="45">
        <f t="shared" ca="1" si="274"/>
        <v>0</v>
      </c>
      <c r="P660" s="45">
        <f t="shared" ca="1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IFERROR(__xludf.DUMMYFUNCTION("IMPORTRANGE(""https://docs.google.com/spreadsheets/d/1QqKyyYR6Q21VydFLVH3TRQUabQu_ym0Zz7PgGX0-kHA/edit?usp=sharing"",""แผน!IA72"")"),100)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IFERROR(__xludf.DUMMYFUNCTION("IMPORTRANGE(""https://docs.google.com/spreadsheets/d/1QqKyyYR6Q21VydFLVH3TRQUabQu_ym0Zz7PgGX0-kHA/edit?usp=sharing"",""แผน!HZ72"")"),4)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IFERROR(__xludf.DUMMYFUNCTION("IMPORTRANGE(""https://docs.google.com/spreadsheets/d/1QqKyyYR6Q21VydFLVH3TRQUabQu_ym0Zz7PgGX0-kHA/edit?usp=sharing"",""แผน!HZ72"")"),4)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IFERROR(__xludf.DUMMYFUNCTION("IMPORTRANGE(""https://docs.google.com/spreadsheets/d/1QqKyyYR6Q21VydFLVH3TRQUabQu_ym0Zz7PgGX0-kHA/edit?usp=sharing"",""แผน!IB72"")"),0)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24580</v>
      </c>
      <c r="M685" s="191">
        <f t="shared" ca="1" si="282"/>
        <v>24580</v>
      </c>
      <c r="N685" s="191">
        <f t="shared" si="282"/>
        <v>10248</v>
      </c>
      <c r="O685" s="191">
        <f t="shared" ref="O685:O688" ca="1" si="283">IF(L685&gt;0,N685*100/L685,0)</f>
        <v>41.692432872253868</v>
      </c>
      <c r="P685" s="191">
        <f t="shared" ref="P685:P688" ca="1" si="284">IF(M685&gt;0,N685*100/M685,0)</f>
        <v>41.692432872253868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24580</v>
      </c>
      <c r="M687" s="45">
        <f t="shared" ca="1" si="285"/>
        <v>24580</v>
      </c>
      <c r="N687" s="45">
        <f t="shared" si="285"/>
        <v>10248</v>
      </c>
      <c r="O687" s="45">
        <f t="shared" ca="1" si="283"/>
        <v>41.692432872253868</v>
      </c>
      <c r="P687" s="45">
        <f t="shared" ca="1" si="284"/>
        <v>41.692432872253868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24580</v>
      </c>
      <c r="M688" s="38">
        <f t="shared" ca="1" si="286"/>
        <v>24580</v>
      </c>
      <c r="N688" s="38">
        <f t="shared" si="286"/>
        <v>10248</v>
      </c>
      <c r="O688" s="38">
        <f t="shared" ca="1" si="283"/>
        <v>41.692432872253868</v>
      </c>
      <c r="P688" s="38">
        <f t="shared" ca="1" si="284"/>
        <v>41.692432872253868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IFERROR(__xludf.DUMMYFUNCTION("IMPORTRANGE(""https://docs.google.com/spreadsheets/d/1QqKyyYR6Q21VydFLVH3TRQUabQu_ym0Zz7PgGX0-kHA/edit?usp=sharing"",""แผน!HW72"")"),24580)</f>
        <v>24580</v>
      </c>
      <c r="M690" s="45">
        <f ca="1">L690</f>
        <v>24580</v>
      </c>
      <c r="N690" s="45">
        <f>N691+N692+N693+N694</f>
        <v>10248</v>
      </c>
      <c r="O690" s="45">
        <f ca="1">IF(L690&gt;0,N690*100/L690,0)</f>
        <v>41.692432872253868</v>
      </c>
      <c r="P690" s="45">
        <f ca="1">IF(M690&gt;0,N690*100/M690,0)</f>
        <v>41.692432872253868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f>1400+8848</f>
        <v>10248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IFERROR(__xludf.DUMMYFUNCTION("IMPORTRANGE(""https://docs.google.com/spreadsheets/d/1QqKyyYR6Q21VydFLVH3TRQUabQu_ym0Zz7PgGX0-kHA/edit?usp=sharing"",""แผน!IC72"")"),0)</f>
        <v>0</v>
      </c>
      <c r="J699" s="37">
        <f ca="1">IFERROR(__xludf.DUMMYFUNCTION("IMPORTRANGE(""https://docs.google.com/spreadsheets/d/1XWAQStnk-4SwqDmLtmXYiTMKHgktTP8We1SCoS47DrQ/edit?usp=sharing"",""จัดที่ดิน!BB72"")"),0)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IFERROR(__xludf.DUMMYFUNCTION("IMPORTRANGE(""https://docs.google.com/spreadsheets/d/1QqKyyYR6Q21VydFLVH3TRQUabQu_ym0Zz7PgGX0-kHA/edit?usp=sharing"",""แผน!ID72"")"),0)</f>
        <v>0</v>
      </c>
      <c r="J700" s="37">
        <f ca="1">IFERROR(__xludf.DUMMYFUNCTION("IMPORTRANGE(""https://docs.google.com/spreadsheets/d/1XWAQStnk-4SwqDmLtmXYiTMKHgktTP8We1SCoS47DrQ/edit?usp=sharing"",""จัดที่ดิน!BD72"")"),0)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IFERROR(__xludf.DUMMYFUNCTION("IMPORTRANGE(""https://docs.google.com/spreadsheets/d/1QqKyyYR6Q21VydFLVH3TRQUabQu_ym0Zz7PgGX0-kHA/edit?usp=sharing"",""แผน!IE72"")"),30)</f>
        <v>30</v>
      </c>
      <c r="J701" s="190">
        <f>J704+J707</f>
        <v>50</v>
      </c>
      <c r="K701" s="191">
        <f t="shared" ca="1" si="290"/>
        <v>166.66666666666666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8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8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IFERROR(__xludf.DUMMYFUNCTION("IMPORTRANGE(""https://docs.google.com/spreadsheets/d/1QqKyyYR6Q21VydFLVH3TRQUabQu_ym0Zz7PgGX0-kHA/edit?usp=sharing"",""แผน!IF72"")"),30)</f>
        <v>30</v>
      </c>
      <c r="J704" s="181">
        <v>50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IFERROR(__xludf.DUMMYFUNCTION("IMPORTRANGE(""https://docs.google.com/spreadsheets/d/1QqKyyYR6Q21VydFLVH3TRQUabQu_ym0Zz7PgGX0-kHA/edit?usp=sharing"",""แผน!IG72"")"),0)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IFERROR(__xludf.DUMMYFUNCTION("IMPORTRANGE(""https://docs.google.com/spreadsheets/d/1QqKyyYR6Q21VydFLVH3TRQUabQu_ym0Zz7PgGX0-kHA/edit?usp=sharing"",""แผน!IH72"")"),120)</f>
        <v>120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IFERROR(__xludf.DUMMYFUNCTION("IMPORTRANGE(""https://docs.google.com/spreadsheets/d/1XWAQStnk-4SwqDmLtmXYiTMKHgktTP8We1SCoS47DrQ/edit?usp=sharing"",""จัดที่ดิน!BF72"")"),0)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IFERROR(__xludf.DUMMYFUNCTION("IMPORTRANGE(""https://docs.google.com/spreadsheets/d/1XWAQStnk-4SwqDmLtmXYiTMKHgktTP8We1SCoS47DrQ/edit?usp=sharing"",""จัดที่ดิน!BG72"")"),0)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IFERROR(__xludf.DUMMYFUNCTION("IMPORTRANGE(""https://docs.google.com/spreadsheets/d/1QqKyyYR6Q21VydFLVH3TRQUabQu_ym0Zz7PgGX0-kHA/edit?usp=sharing"",""แผน!II72"")"),170)</f>
        <v>170</v>
      </c>
      <c r="J720" s="37">
        <f ca="1">IFERROR(__xludf.DUMMYFUNCTION("IMPORTRANGE(""https://docs.google.com/spreadsheets/d/1XWAQStnk-4SwqDmLtmXYiTMKHgktTP8We1SCoS47DrQ/edit?usp=sharing"",""จัดที่ดิน!BH72"")"),0)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IFERROR(__xludf.DUMMYFUNCTION("IMPORTRANGE(""https://docs.google.com/spreadsheets/d/1QqKyyYR6Q21VydFLVH3TRQUabQu_ym0Zz7PgGX0-kHA/edit?usp=sharing"",""แผน!IJ72"")"),29)</f>
        <v>29</v>
      </c>
      <c r="J721" s="190">
        <f ca="1">J723+J726</f>
        <v>6</v>
      </c>
      <c r="K721" s="191">
        <f t="shared" ca="1" si="291"/>
        <v>20.689655172413794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IFERROR(__xludf.DUMMYFUNCTION("IMPORTRANGE(""https://docs.google.com/spreadsheets/d/1QqKyyYR6Q21VydFLVH3TRQUabQu_ym0Zz7PgGX0-kHA/edit?usp=sharing"",""แผน!IK72"")"),300)</f>
        <v>300</v>
      </c>
      <c r="J722" s="190">
        <f ca="1">J725+J728</f>
        <v>99.26</v>
      </c>
      <c r="K722" s="191">
        <f t="shared" ca="1" si="291"/>
        <v>33.086666666666666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IFERROR(__xludf.DUMMYFUNCTION("IMPORTRANGE(""https://docs.google.com/spreadsheets/d/1QqKyyYR6Q21VydFLVH3TRQUabQu_ym0Zz7PgGX0-kHA/edit?usp=sharing"",""แผน!IL72"")"),20)</f>
        <v>20</v>
      </c>
      <c r="J723" s="37">
        <f ca="1">IFERROR(__xludf.DUMMYFUNCTION("IMPORTRANGE(""https://docs.google.com/spreadsheets/d/1XWAQStnk-4SwqDmLtmXYiTMKHgktTP8We1SCoS47DrQ/edit?usp=sharing"",""จัดที่ดิน!BM72"")"),6)</f>
        <v>6</v>
      </c>
      <c r="K723" s="38">
        <f t="shared" ca="1" si="291"/>
        <v>30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IFERROR(__xludf.DUMMYFUNCTION("IMPORTRANGE(""https://docs.google.com/spreadsheets/d/1XWAQStnk-4SwqDmLtmXYiTMKHgktTP8We1SCoS47DrQ/edit?usp=sharing"",""จัดที่ดิน!BN72"")"),7)</f>
        <v>7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IFERROR(__xludf.DUMMYFUNCTION("IMPORTRANGE(""https://docs.google.com/spreadsheets/d/1QqKyyYR6Q21VydFLVH3TRQUabQu_ym0Zz7PgGX0-kHA/edit?usp=sharing"",""แผน!IM72"")"),200)</f>
        <v>200</v>
      </c>
      <c r="J725" s="37">
        <f ca="1">IFERROR(__xludf.DUMMYFUNCTION("IMPORTRANGE(""https://docs.google.com/spreadsheets/d/1XWAQStnk-4SwqDmLtmXYiTMKHgktTP8We1SCoS47DrQ/edit?usp=sharing"",""จัดที่ดิน!BO72"")"),99.26)</f>
        <v>99.26</v>
      </c>
      <c r="K725" s="38">
        <f t="shared" ref="K725:K726" ca="1" si="292">IF(I725&gt;0,J725*100/I725,0)</f>
        <v>49.63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IFERROR(__xludf.DUMMYFUNCTION("IMPORTRANGE(""https://docs.google.com/spreadsheets/d/1QqKyyYR6Q21VydFLVH3TRQUabQu_ym0Zz7PgGX0-kHA/edit?usp=sharing"",""แผน!IN72"")"),9)</f>
        <v>9</v>
      </c>
      <c r="J726" s="37">
        <f ca="1">IFERROR(__xludf.DUMMYFUNCTION("IMPORTRANGE(""https://docs.google.com/spreadsheets/d/1XWAQStnk-4SwqDmLtmXYiTMKHgktTP8We1SCoS47DrQ/edit?usp=sharing"",""จัดที่ดิน!BR72"")"),0)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IFERROR(__xludf.DUMMYFUNCTION("IMPORTRANGE(""https://docs.google.com/spreadsheets/d/1XWAQStnk-4SwqDmLtmXYiTMKHgktTP8We1SCoS47DrQ/edit?usp=sharing"",""จัดที่ดิน!BS72"")"),0)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IFERROR(__xludf.DUMMYFUNCTION("IMPORTRANGE(""https://docs.google.com/spreadsheets/d/1QqKyyYR6Q21VydFLVH3TRQUabQu_ym0Zz7PgGX0-kHA/edit?usp=sharing"",""แผน!IO72"")"),100)</f>
        <v>100</v>
      </c>
      <c r="J728" s="37">
        <f ca="1">IFERROR(__xludf.DUMMYFUNCTION("IMPORTRANGE(""https://docs.google.com/spreadsheets/d/1XWAQStnk-4SwqDmLtmXYiTMKHgktTP8We1SCoS47DrQ/edit?usp=sharing"",""จัดที่ดิน!BT72"")"),0)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IFERROR(__xludf.DUMMYFUNCTION("IMPORTRANGE(""https://docs.google.com/spreadsheets/d/1QqKyyYR6Q21VydFLVH3TRQUabQu_ym0Zz7PgGX0-kHA/edit?usp=sharing"",""แผน!IP72"")"),20)</f>
        <v>20</v>
      </c>
      <c r="J729" s="190">
        <f>J732+J735</f>
        <v>50.24</v>
      </c>
      <c r="K729" s="191">
        <f t="shared" ca="1" si="293"/>
        <v>251.2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/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/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/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2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2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50.24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IFERROR(__xludf.DUMMYFUNCTION("IMPORTRANGE(""https://docs.google.com/spreadsheets/d/1QqKyyYR6Q21VydFLVH3TRQUabQu_ym0Zz7PgGX0-kHA/edit?usp=sharing"",""แผน!JJ72"")"),0)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IFERROR(__xludf.DUMMYFUNCTION("IMPORTRANGE(""https://docs.google.com/spreadsheets/d/1QqKyyYR6Q21VydFLVH3TRQUabQu_ym0Zz7PgGX0-kHA/edit?usp=sharing"",""แผน!JN72"")"),0)</f>
        <v>0</v>
      </c>
      <c r="J800" s="161">
        <f ca="1">IFERROR(__xludf.DUMMYFUNCTION("IMPORTRANGE(""https://docs.google.com/spreadsheets/d/1MaWodYyGHDf7siQLGxnXhG4mBNTNIuy296niS2xXulU/edit?usp=sharing"",""RTK!H72"")"),0)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IFERROR(__xludf.DUMMYFUNCTION("IMPORTRANGE(""https://docs.google.com/spreadsheets/d/1MaWodYyGHDf7siQLGxnXhG4mBNTNIuy296niS2xXulU/edit?usp=sharing"",""RTK!I72"")"),0)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IFERROR(__xludf.DUMMYFUNCTION("IMPORTRANGE(""https://docs.google.com/spreadsheets/d/19vJNZY_5yjcGF2XGBMNZRCAIB0Kwfpjp8YEOfu-bneM/edit?usp=sharing"",""งานกองทุน!D72"")"),23399923)</f>
        <v>23399923</v>
      </c>
      <c r="J821" s="37">
        <f ca="1">IFERROR(__xludf.DUMMYFUNCTION("IMPORTRANGE(""https://docs.google.com/spreadsheets/d/19vJNZY_5yjcGF2XGBMNZRCAIB0Kwfpjp8YEOfu-bneM/edit?usp=sharing"",""งานกองทุน!F72"")"),21074687.79)</f>
        <v>21074687.789999999</v>
      </c>
      <c r="K821" s="38">
        <f t="shared" ref="K821:K828" ca="1" si="335">IF(I821&gt;0,J821*100/I821,0)</f>
        <v>90.06306469470006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IFERROR(__xludf.DUMMYFUNCTION("IMPORTRANGE(""https://docs.google.com/spreadsheets/d/19vJNZY_5yjcGF2XGBMNZRCAIB0Kwfpjp8YEOfu-bneM/edit?usp=sharing"",""งานกองทุน!C72"")"),576)</f>
        <v>576</v>
      </c>
      <c r="J822" s="37">
        <f ca="1">IFERROR(__xludf.DUMMYFUNCTION("IMPORTRANGE(""https://docs.google.com/spreadsheets/d/19vJNZY_5yjcGF2XGBMNZRCAIB0Kwfpjp8YEOfu-bneM/edit?usp=sharing"",""งานกองทุน!E72"")"),546)</f>
        <v>546</v>
      </c>
      <c r="K822" s="38">
        <f t="shared" ca="1" si="335"/>
        <v>94.791666666666671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37">
        <f ca="1">IFERROR(__xludf.DUMMYFUNCTION("IMPORTRANGE(""https://docs.google.com/spreadsheets/d/19vJNZY_5yjcGF2XGBMNZRCAIB0Kwfpjp8YEOfu-bneM/edit?usp=sharing"",""งานกองทุน!K72"")"),531529.07)</f>
        <v>531529.06999999995</v>
      </c>
      <c r="K823" s="38">
        <f t="shared" ca="1" si="335"/>
        <v>17.72529730825951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IFERROR(__xludf.DUMMYFUNCTION("IMPORTRANGE(""https://docs.google.com/spreadsheets/d/19vJNZY_5yjcGF2XGBMNZRCAIB0Kwfpjp8YEOfu-bneM/edit?usp=sharing"",""งานกองทุน!H72"")"),59)</f>
        <v>59</v>
      </c>
      <c r="J824" s="37">
        <f ca="1">IFERROR(__xludf.DUMMYFUNCTION("IMPORTRANGE(""https://docs.google.com/spreadsheets/d/19vJNZY_5yjcGF2XGBMNZRCAIB0Kwfpjp8YEOfu-bneM/edit?usp=sharing"",""งานกองทุน!J72"")"),46)</f>
        <v>46</v>
      </c>
      <c r="K824" s="38">
        <f t="shared" ca="1" si="335"/>
        <v>77.966101694915253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37">
        <f ca="1">IFERROR(__xludf.DUMMYFUNCTION("IMPORTRANGE(""https://docs.google.com/spreadsheets/d/19vJNZY_5yjcGF2XGBMNZRCAIB0Kwfpjp8YEOfu-bneM/edit?usp=sharing"",""งานกองทุน!P72"")"),756813.66)</f>
        <v>756813.66</v>
      </c>
      <c r="K825" s="38">
        <f t="shared" ca="1" si="335"/>
        <v>36.996255853880882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IFERROR(__xludf.DUMMYFUNCTION("IMPORTRANGE(""https://docs.google.com/spreadsheets/d/19vJNZY_5yjcGF2XGBMNZRCAIB0Kwfpjp8YEOfu-bneM/edit?usp=sharing"",""งานกองทุน!M72"")"),499)</f>
        <v>499</v>
      </c>
      <c r="J826" s="37">
        <f ca="1">IFERROR(__xludf.DUMMYFUNCTION("IMPORTRANGE(""https://docs.google.com/spreadsheets/d/19vJNZY_5yjcGF2XGBMNZRCAIB0Kwfpjp8YEOfu-bneM/edit?usp=sharing"",""งานกองทุน!O72"")"),261)</f>
        <v>261</v>
      </c>
      <c r="K826" s="38">
        <f t="shared" ca="1" si="335"/>
        <v>52.304609218436873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IFERROR(__xludf.DUMMYFUNCTION("IMPORTRANGE(""https://docs.google.com/spreadsheets/d/19vJNZY_5yjcGF2XGBMNZRCAIB0Kwfpjp8YEOfu-bneM/edit?usp=sharing"",""งานกองทุน!S72"")"),20000000)</f>
        <v>20000000</v>
      </c>
      <c r="J827" s="37">
        <f ca="1">IFERROR(__xludf.DUMMYFUNCTION("IMPORTRANGE(""https://docs.google.com/spreadsheets/d/19vJNZY_5yjcGF2XGBMNZRCAIB0Kwfpjp8YEOfu-bneM/edit?usp=sharing"",""งานกองทุน!U72"")"),17715000)</f>
        <v>17715000</v>
      </c>
      <c r="K827" s="38">
        <f t="shared" ca="1" si="335"/>
        <v>88.575000000000003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IFERROR(__xludf.DUMMYFUNCTION("IMPORTRANGE(""https://docs.google.com/spreadsheets/d/19vJNZY_5yjcGF2XGBMNZRCAIB0Kwfpjp8YEOfu-bneM/edit?usp=sharing"",""งานกองทุน!R72"")"),548)</f>
        <v>548</v>
      </c>
      <c r="J828" s="365">
        <f ca="1">IFERROR(__xludf.DUMMYFUNCTION("IMPORTRANGE(""https://docs.google.com/spreadsheets/d/19vJNZY_5yjcGF2XGBMNZRCAIB0Kwfpjp8YEOfu-bneM/edit?usp=sharing"",""งานกองทุน!T72"")"),423)</f>
        <v>423</v>
      </c>
      <c r="K828" s="472">
        <f t="shared" ca="1" si="335"/>
        <v>77.189781021897815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86B8E-FE03-4AE7-96C6-B819CE65424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361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2037800</v>
      </c>
      <c r="N8" s="22">
        <f t="shared" ca="1" si="0"/>
        <v>1736114.47</v>
      </c>
      <c r="O8" s="22">
        <f t="shared" ref="O8:O16" ca="1" si="1">IF(L8&gt;0,N8*100/L8,0)</f>
        <v>87.207313177180922</v>
      </c>
      <c r="P8" s="22">
        <f t="shared" ref="P8:P16" ca="1" si="2">IF(M8&gt;0,N8*100/M8,0)</f>
        <v>85.195528020414173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2037800</v>
      </c>
      <c r="N10" s="30">
        <f t="shared" ca="1" si="3"/>
        <v>1736114.47</v>
      </c>
      <c r="O10" s="30">
        <f t="shared" ca="1" si="1"/>
        <v>87.207313177180922</v>
      </c>
      <c r="P10" s="30">
        <f t="shared" ca="1" si="2"/>
        <v>85.195528020414173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1960790</v>
      </c>
      <c r="M11" s="38">
        <f t="shared" ca="1" si="4"/>
        <v>2007800</v>
      </c>
      <c r="N11" s="38">
        <f t="shared" ca="1" si="4"/>
        <v>1706114.47</v>
      </c>
      <c r="O11" s="38">
        <f t="shared" ca="1" si="1"/>
        <v>87.011585636401648</v>
      </c>
      <c r="P11" s="38">
        <f t="shared" ca="1" si="2"/>
        <v>84.974323637812532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1960790</v>
      </c>
      <c r="M13" s="45">
        <f t="shared" ca="1" si="5"/>
        <v>2007800</v>
      </c>
      <c r="N13" s="45">
        <f t="shared" ca="1" si="5"/>
        <v>1706114.47</v>
      </c>
      <c r="O13" s="45">
        <f t="shared" ca="1" si="1"/>
        <v>87.011585636401648</v>
      </c>
      <c r="P13" s="45">
        <f t="shared" ca="1" si="2"/>
        <v>84.974323637812532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30000</v>
      </c>
      <c r="M14" s="38">
        <f t="shared" ca="1" si="6"/>
        <v>30000</v>
      </c>
      <c r="N14" s="38">
        <f t="shared" ca="1" si="6"/>
        <v>30000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1786220</v>
      </c>
      <c r="N18" s="22">
        <f t="shared" ca="1" si="8"/>
        <v>1589499.47</v>
      </c>
      <c r="O18" s="22">
        <f t="shared" ref="O18:O26" ca="1" si="9">IF(L18&gt;0,N18*100/L18,0)</f>
        <v>91.392038339245985</v>
      </c>
      <c r="P18" s="22">
        <f t="shared" ref="P18:P26" ca="1" si="10">IF(M18&gt;0,N18*100/M18,0)</f>
        <v>88.986769266943597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1786220</v>
      </c>
      <c r="N20" s="30">
        <f t="shared" ca="1" si="11"/>
        <v>1589499.47</v>
      </c>
      <c r="O20" s="30">
        <f t="shared" ca="1" si="9"/>
        <v>91.392038339245985</v>
      </c>
      <c r="P20" s="30">
        <f t="shared" ca="1" si="10"/>
        <v>88.986769266943597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1709210</v>
      </c>
      <c r="M21" s="38">
        <f t="shared" ca="1" si="12"/>
        <v>1756220</v>
      </c>
      <c r="N21" s="38">
        <f t="shared" ca="1" si="12"/>
        <v>1559499.47</v>
      </c>
      <c r="O21" s="38">
        <f t="shared" ca="1" si="9"/>
        <v>91.240951667729533</v>
      </c>
      <c r="P21" s="38">
        <f t="shared" ca="1" si="10"/>
        <v>88.798639692065919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1709210</v>
      </c>
      <c r="M23" s="45">
        <f t="shared" ca="1" si="13"/>
        <v>1756220</v>
      </c>
      <c r="N23" s="45">
        <f t="shared" ca="1" si="13"/>
        <v>1559499.47</v>
      </c>
      <c r="O23" s="45">
        <f t="shared" ca="1" si="9"/>
        <v>91.240951667729533</v>
      </c>
      <c r="P23" s="45">
        <f t="shared" ca="1" si="10"/>
        <v>88.798639692065919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30000</v>
      </c>
      <c r="M24" s="38">
        <f t="shared" ca="1" si="14"/>
        <v>30000</v>
      </c>
      <c r="N24" s="38">
        <f t="shared" ca="1" si="14"/>
        <v>30000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146615</v>
      </c>
      <c r="O28" s="22">
        <f t="shared" ref="O28:O37" ca="1" si="17">IF(L28&gt;0,N28*100/L28,0)</f>
        <v>58.27768503060657</v>
      </c>
      <c r="P28" s="22">
        <f t="shared" ref="P28:P37" ca="1" si="18">IF(M28&gt;0,N28*100/M28,0)</f>
        <v>58.27768503060657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146615</v>
      </c>
      <c r="O30" s="30">
        <f t="shared" ca="1" si="17"/>
        <v>58.27768503060657</v>
      </c>
      <c r="P30" s="30">
        <f t="shared" ca="1" si="18"/>
        <v>58.27768503060657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251580</v>
      </c>
      <c r="M31" s="38">
        <f t="shared" ca="1" si="20"/>
        <v>251580</v>
      </c>
      <c r="N31" s="38">
        <f t="shared" si="20"/>
        <v>146615</v>
      </c>
      <c r="O31" s="38">
        <f t="shared" ca="1" si="17"/>
        <v>58.27768503060657</v>
      </c>
      <c r="P31" s="38">
        <f t="shared" ca="1" si="18"/>
        <v>58.27768503060657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251580</v>
      </c>
      <c r="M33" s="45">
        <f t="shared" ca="1" si="21"/>
        <v>251580</v>
      </c>
      <c r="N33" s="45">
        <f t="shared" si="21"/>
        <v>146615</v>
      </c>
      <c r="O33" s="45">
        <f t="shared" ca="1" si="17"/>
        <v>58.27768503060657</v>
      </c>
      <c r="P33" s="45">
        <f t="shared" ca="1" si="18"/>
        <v>58.27768503060657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1786220</v>
      </c>
      <c r="N37" s="59">
        <f t="shared" ca="1" si="24"/>
        <v>1589499.47</v>
      </c>
      <c r="O37" s="59">
        <f t="shared" ca="1" si="17"/>
        <v>91.392038339245985</v>
      </c>
      <c r="P37" s="59">
        <f t="shared" ca="1" si="18"/>
        <v>88.986769266943597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136680</v>
      </c>
      <c r="N41" s="85">
        <f t="shared" ca="1" si="25"/>
        <v>128685</v>
      </c>
      <c r="O41" s="85">
        <f t="shared" ref="O41:O49" ca="1" si="26">IF(L41&gt;0,N41*100/L41,0)</f>
        <v>104.87775061124694</v>
      </c>
      <c r="P41" s="85">
        <f t="shared" ref="P41:P49" ca="1" si="27">IF(M41&gt;0,N41*100/M41,0)</f>
        <v>94.150570676031606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136680</v>
      </c>
      <c r="N43" s="92">
        <f t="shared" ca="1" si="28"/>
        <v>128685</v>
      </c>
      <c r="O43" s="92">
        <f t="shared" ca="1" si="26"/>
        <v>104.87775061124694</v>
      </c>
      <c r="P43" s="92">
        <f t="shared" ca="1" si="27"/>
        <v>94.150570676031606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122700</v>
      </c>
      <c r="M44" s="38">
        <f t="shared" ca="1" si="29"/>
        <v>136680</v>
      </c>
      <c r="N44" s="38">
        <f t="shared" ca="1" si="29"/>
        <v>128685</v>
      </c>
      <c r="O44" s="38">
        <f t="shared" ca="1" si="26"/>
        <v>104.87775061124694</v>
      </c>
      <c r="P44" s="38">
        <f t="shared" ca="1" si="27"/>
        <v>94.150570676031606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IFERROR(__xludf.DUMMYFUNCTION("IMPORTRANGE(""https://docs.google.com/spreadsheets/d/1MeEWN-I1oV_STSDYn1IFDPWt_1FKiwhDph83XaGc0o0/edit?usp=sharing"",""งบพรบ!M73"")"),122700)</f>
        <v>122700</v>
      </c>
      <c r="M46" s="45">
        <f ca="1">IFERROR(__xludf.DUMMYFUNCTION("IMPORTRANGE(""https://docs.google.com/spreadsheets/d/1MeEWN-I1oV_STSDYn1IFDPWt_1FKiwhDph83XaGc0o0/edit?usp=sharing"",""งบพรบ!R73"")"),136680)</f>
        <v>136680</v>
      </c>
      <c r="N46" s="45">
        <f ca="1">IFERROR(__xludf.DUMMYFUNCTION("IMPORTRANGE(""https://docs.google.com/spreadsheets/d/1MeEWN-I1oV_STSDYn1IFDPWt_1FKiwhDph83XaGc0o0/edit?usp=sharing"",""งบพรบ!T73"")"),128685)</f>
        <v>128685</v>
      </c>
      <c r="O46" s="45">
        <f t="shared" ca="1" si="26"/>
        <v>104.87775061124694</v>
      </c>
      <c r="P46" s="45">
        <f t="shared" ca="1" si="27"/>
        <v>94.150570676031606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839900</v>
      </c>
      <c r="M53" s="115">
        <f t="shared" ca="1" si="31"/>
        <v>839900</v>
      </c>
      <c r="N53" s="115">
        <f t="shared" ca="1" si="31"/>
        <v>793139.67</v>
      </c>
      <c r="O53" s="115">
        <f t="shared" ref="O53:O61" ca="1" si="32">IF(L53&gt;0,N53*100/L53,0)</f>
        <v>94.432631265626867</v>
      </c>
      <c r="P53" s="115">
        <f t="shared" ref="P53:P61" ca="1" si="33">IF(M53&gt;0,N53*100/M53,0)</f>
        <v>94.432631265626867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839900</v>
      </c>
      <c r="M55" s="122">
        <f t="shared" ca="1" si="34"/>
        <v>839900</v>
      </c>
      <c r="N55" s="122">
        <f t="shared" ca="1" si="34"/>
        <v>793139.67</v>
      </c>
      <c r="O55" s="122">
        <f t="shared" ca="1" si="32"/>
        <v>94.432631265626867</v>
      </c>
      <c r="P55" s="122">
        <f t="shared" ca="1" si="33"/>
        <v>94.432631265626867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839900</v>
      </c>
      <c r="M56" s="38">
        <f t="shared" ca="1" si="35"/>
        <v>839900</v>
      </c>
      <c r="N56" s="38">
        <f t="shared" ca="1" si="35"/>
        <v>793139.67</v>
      </c>
      <c r="O56" s="38">
        <f t="shared" ca="1" si="32"/>
        <v>94.432631265626867</v>
      </c>
      <c r="P56" s="38">
        <f t="shared" ca="1" si="33"/>
        <v>94.432631265626867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IFERROR(__xludf.DUMMYFUNCTION("IMPORTRANGE(""https://docs.google.com/spreadsheets/d/1MeEWN-I1oV_STSDYn1IFDPWt_1FKiwhDph83XaGc0o0/edit?usp=sharing"",""งบพรบ!W73"")"),839900)</f>
        <v>839900</v>
      </c>
      <c r="M58" s="45">
        <f ca="1">IFERROR(__xludf.DUMMYFUNCTION("IMPORTRANGE(""https://docs.google.com/spreadsheets/d/1MeEWN-I1oV_STSDYn1IFDPWt_1FKiwhDph83XaGc0o0/edit?usp=sharing"",""งบพรบ!AB73"")"),839900)</f>
        <v>839900</v>
      </c>
      <c r="N58" s="45">
        <f ca="1">IFERROR(__xludf.DUMMYFUNCTION("IMPORTRANGE(""https://docs.google.com/spreadsheets/d/1MeEWN-I1oV_STSDYn1IFDPWt_1FKiwhDph83XaGc0o0/edit?usp=sharing"",""งบพรบ!AD73"")"),793139.67)</f>
        <v>793139.67</v>
      </c>
      <c r="O58" s="45">
        <f t="shared" ca="1" si="32"/>
        <v>94.432631265626867</v>
      </c>
      <c r="P58" s="45">
        <f t="shared" ca="1" si="33"/>
        <v>94.432631265626867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IFERROR(__xludf.DUMMYFUNCTION("IMPORTRANGE(""https://docs.google.com/spreadsheets/d/1MeEWN-I1oV_STSDYn1IFDPWt_1FKiwhDph83XaGc0o0/edit?usp=sharing"",""งบพรบ!AG73"")"),0)</f>
        <v>0</v>
      </c>
      <c r="M71" s="45">
        <f ca="1">IFERROR(__xludf.DUMMYFUNCTION("IMPORTRANGE(""https://docs.google.com/spreadsheets/d/1MeEWN-I1oV_STSDYn1IFDPWt_1FKiwhDph83XaGc0o0/edit?usp=sharing"",""งบพรบ!AL73"")"),0)</f>
        <v>0</v>
      </c>
      <c r="N71" s="45">
        <f ca="1">IFERROR(__xludf.DUMMYFUNCTION("IMPORTRANGE(""https://docs.google.com/spreadsheets/d/1MeEWN-I1oV_STSDYn1IFDPWt_1FKiwhDph83XaGc0o0/edit?usp=sharing"",""งบพรบ!AN73"")"),0)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IFERROR(__xludf.DUMMYFUNCTION("IMPORTRANGE(""https://docs.google.com/spreadsheets/d/1MeEWN-I1oV_STSDYn1IFDPWt_1FKiwhDph83XaGc0o0/edit?usp=sharing"",""งบพรบ!AJ73"")"),0)</f>
        <v>0</v>
      </c>
      <c r="M74" s="45">
        <f ca="1">IFERROR(__xludf.DUMMYFUNCTION("IMPORTRANGE(""https://docs.google.com/spreadsheets/d/1MeEWN-I1oV_STSDYn1IFDPWt_1FKiwhDph83XaGc0o0/edit?usp=sharing"",""งบพรบ!AM73"")"),0)</f>
        <v>0</v>
      </c>
      <c r="N74" s="45">
        <f ca="1">IFERROR(__xludf.DUMMYFUNCTION("IMPORTRANGE(""https://docs.google.com/spreadsheets/d/1MeEWN-I1oV_STSDYn1IFDPWt_1FKiwhDph83XaGc0o0/edit?usp=sharing"",""งบพรบ!AO73"")"),0)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IFERROR(__xludf.DUMMYFUNCTION("IMPORTRANGE(""https://docs.google.com/spreadsheets/d/1QqKyyYR6Q21VydFLVH3TRQUabQu_ym0Zz7PgGX0-kHA/edit?usp=sharing"",""แผน!J73"")"),0)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174500</v>
      </c>
      <c r="M88" s="154">
        <f t="shared" ca="1" si="49"/>
        <v>174500</v>
      </c>
      <c r="N88" s="154">
        <f t="shared" ca="1" si="49"/>
        <v>169702.8</v>
      </c>
      <c r="O88" s="154">
        <f t="shared" ref="O88:O96" ca="1" si="50">IF(L88&gt;0,N88*100/L88,0)</f>
        <v>97.250888252148997</v>
      </c>
      <c r="P88" s="154">
        <f t="shared" ref="P88:P96" ca="1" si="51">IF(M88&gt;0,N88*100/M88,0)</f>
        <v>97.250888252148997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174500</v>
      </c>
      <c r="M90" s="45">
        <f t="shared" ca="1" si="52"/>
        <v>174500</v>
      </c>
      <c r="N90" s="45">
        <f t="shared" ca="1" si="52"/>
        <v>169702.8</v>
      </c>
      <c r="O90" s="45">
        <f t="shared" ca="1" si="50"/>
        <v>97.250888252148997</v>
      </c>
      <c r="P90" s="45">
        <f t="shared" ca="1" si="51"/>
        <v>97.250888252148997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174500</v>
      </c>
      <c r="M91" s="38">
        <f t="shared" ca="1" si="53"/>
        <v>174500</v>
      </c>
      <c r="N91" s="38">
        <f t="shared" ca="1" si="53"/>
        <v>169702.8</v>
      </c>
      <c r="O91" s="38">
        <f t="shared" ca="1" si="50"/>
        <v>97.250888252148997</v>
      </c>
      <c r="P91" s="38">
        <f t="shared" ca="1" si="51"/>
        <v>97.250888252148997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IFERROR(__xludf.DUMMYFUNCTION("IMPORTRANGE(""https://docs.google.com/spreadsheets/d/1MeEWN-I1oV_STSDYn1IFDPWt_1FKiwhDph83XaGc0o0/edit?usp=sharing"",""งบพรบ!AQ73"")"),174500)</f>
        <v>174500</v>
      </c>
      <c r="M93" s="45">
        <f ca="1">IFERROR(__xludf.DUMMYFUNCTION("IMPORTRANGE(""https://docs.google.com/spreadsheets/d/1MeEWN-I1oV_STSDYn1IFDPWt_1FKiwhDph83XaGc0o0/edit?usp=sharing"",""งบพรบ!AV73"")"),174500)</f>
        <v>174500</v>
      </c>
      <c r="N93" s="45">
        <f ca="1">IFERROR(__xludf.DUMMYFUNCTION("IMPORTRANGE(""https://docs.google.com/spreadsheets/d/1MeEWN-I1oV_STSDYn1IFDPWt_1FKiwhDph83XaGc0o0/edit?usp=sharing"",""งบพรบ!AX73"")"),169702.8)</f>
        <v>169702.8</v>
      </c>
      <c r="O93" s="45">
        <f t="shared" ca="1" si="50"/>
        <v>97.250888252148997</v>
      </c>
      <c r="P93" s="45">
        <f t="shared" ca="1" si="51"/>
        <v>97.250888252148997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IFERROR(__xludf.DUMMYFUNCTION("IMPORTRANGE(""https://docs.google.com/spreadsheets/d/1MeEWN-I1oV_STSDYn1IFDPWt_1FKiwhDph83XaGc0o0/edit?usp=sharing"",""งบพรบ!AT73"")"),0)</f>
        <v>0</v>
      </c>
      <c r="M96" s="45">
        <f ca="1">IFERROR(__xludf.DUMMYFUNCTION("IMPORTRANGE(""https://docs.google.com/spreadsheets/d/1MeEWN-I1oV_STSDYn1IFDPWt_1FKiwhDph83XaGc0o0/edit?usp=sharing"",""งบพรบ!AW73"")"),0)</f>
        <v>0</v>
      </c>
      <c r="N96" s="45">
        <f ca="1">IFERROR(__xludf.DUMMYFUNCTION("IMPORTRANGE(""https://docs.google.com/spreadsheets/d/1MeEWN-I1oV_STSDYn1IFDPWt_1FKiwhDph83XaGc0o0/edit?usp=sharing"",""งบพรบ!AY73"")"),0)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IFERROR(__xludf.DUMMYFUNCTION("IMPORTRANGE(""https://docs.google.com/spreadsheets/d/1QqKyyYR6Q21VydFLVH3TRQUabQu_ym0Zz7PgGX0-kHA/edit?usp=sharing"",""แผน!K73"")"),0)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IFERROR(__xludf.DUMMYFUNCTION("IMPORTRANGE(""https://docs.google.com/spreadsheets/d/1QqKyyYR6Q21VydFLVH3TRQUabQu_ym0Zz7PgGX0-kHA/edit?usp=sharing"",""แผน!L73"")"),0)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IFERROR(__xludf.DUMMYFUNCTION("IMPORTRANGE(""https://docs.google.com/spreadsheets/d/1QqKyyYR6Q21VydFLVH3TRQUabQu_ym0Zz7PgGX0-kHA/edit?usp=sharing"",""แผน!M73"")"),1)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IFERROR(__xludf.DUMMYFUNCTION("IMPORTRANGE(""https://docs.google.com/spreadsheets/d/1QqKyyYR6Q21VydFLVH3TRQUabQu_ym0Zz7PgGX0-kHA/edit?usp=sharing"",""แผน!N73"")"),0)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IFERROR(__xludf.DUMMYFUNCTION("IMPORTRANGE(""https://docs.google.com/spreadsheets/d/1QqKyyYR6Q21VydFLVH3TRQUabQu_ym0Zz7PgGX0-kHA/edit?usp=sharing"",""แผน!O73"")"),0)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IFERROR(__xludf.DUMMYFUNCTION("IMPORTRANGE(""https://docs.google.com/spreadsheets/d/1QqKyyYR6Q21VydFLVH3TRQUabQu_ym0Zz7PgGX0-kHA/edit?usp=sharing"",""แผน!O73"")"),0)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IFERROR(__xludf.DUMMYFUNCTION("IMPORTRANGE(""https://docs.google.com/spreadsheets/d/1QqKyyYR6Q21VydFLVH3TRQUabQu_ym0Zz7PgGX0-kHA/edit?usp=sharing"",""แผน!P73"")"),0)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IFERROR(__xludf.DUMMYFUNCTION("IMPORTRANGE(""https://docs.google.com/spreadsheets/d/1QqKyyYR6Q21VydFLVH3TRQUabQu_ym0Zz7PgGX0-kHA/edit?usp=sharing"",""แผน!P73"")"),0)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IFERROR(__xludf.DUMMYFUNCTION("IMPORTRANGE(""https://docs.google.com/spreadsheets/d/1QqKyyYR6Q21VydFLVH3TRQUabQu_ym0Zz7PgGX0-kHA/edit?usp=sharing"",""แผน!Q73"")"),1)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IFERROR(__xludf.DUMMYFUNCTION("IMPORTRANGE(""https://docs.google.com/spreadsheets/d/1QqKyyYR6Q21VydFLVH3TRQUabQu_ym0Zz7PgGX0-kHA/edit?usp=sharing"",""แผน!Q73"")"),1)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IFERROR(__xludf.DUMMYFUNCTION("IMPORTRANGE(""https://docs.google.com/spreadsheets/d/1QqKyyYR6Q21VydFLVH3TRQUabQu_ym0Zz7PgGX0-kHA/edit?usp=sharing"",""แผน!R73"")"),0)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IFERROR(__xludf.DUMMYFUNCTION("IMPORTRANGE(""https://docs.google.com/spreadsheets/d/1QqKyyYR6Q21VydFLVH3TRQUabQu_ym0Zz7PgGX0-kHA/edit?usp=sharing"",""แผน!R73"")"),0)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IFERROR(__xludf.DUMMYFUNCTION("IMPORTRANGE(""https://docs.google.com/spreadsheets/d/1QqKyyYR6Q21VydFLVH3TRQUabQu_ym0Zz7PgGX0-kHA/edit?usp=sharing"",""แผน!R73"")"),0)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IFERROR(__xludf.DUMMYFUNCTION("IMPORTRANGE(""https://docs.google.com/spreadsheets/d/1QqKyyYR6Q21VydFLVH3TRQUabQu_ym0Zz7PgGX0-kHA/edit?usp=sharing"",""แผน!S73"")"),0)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IFERROR(__xludf.DUMMYFUNCTION("IMPORTRANGE(""https://docs.google.com/spreadsheets/d/1QqKyyYR6Q21VydFLVH3TRQUabQu_ym0Zz7PgGX0-kHA/edit?usp=sharing"",""แผน!T73"")"),1)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IFERROR(__xludf.DUMMYFUNCTION("IMPORTRANGE(""https://docs.google.com/spreadsheets/d/1MeEWN-I1oV_STSDYn1IFDPWt_1FKiwhDph83XaGc0o0/edit?usp=sharing"",""งบพรบ!BA73"")"),0)</f>
        <v>0</v>
      </c>
      <c r="M124" s="45">
        <f ca="1">IFERROR(__xludf.DUMMYFUNCTION("IMPORTRANGE(""https://docs.google.com/spreadsheets/d/1MeEWN-I1oV_STSDYn1IFDPWt_1FKiwhDph83XaGc0o0/edit?usp=sharing"",""งบพรบ!BF73"")"),0)</f>
        <v>0</v>
      </c>
      <c r="N124" s="45">
        <f ca="1">IFERROR(__xludf.DUMMYFUNCTION("IMPORTRANGE(""https://docs.google.com/spreadsheets/d/1MeEWN-I1oV_STSDYn1IFDPWt_1FKiwhDph83XaGc0o0/edit?usp=sharing"",""งบพรบ!BH73"")"),0)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IFERROR(__xludf.DUMMYFUNCTION("IMPORTRANGE(""https://docs.google.com/spreadsheets/d/1MeEWN-I1oV_STSDYn1IFDPWt_1FKiwhDph83XaGc0o0/edit?usp=sharing"",""งบพรบ!BD73"")"),0)</f>
        <v>0</v>
      </c>
      <c r="M127" s="45">
        <f ca="1">IFERROR(__xludf.DUMMYFUNCTION("IMPORTRANGE(""https://docs.google.com/spreadsheets/d/1MeEWN-I1oV_STSDYn1IFDPWt_1FKiwhDph83XaGc0o0/edit?usp=sharing"",""งบพรบ!BG73"")"),0)</f>
        <v>0</v>
      </c>
      <c r="N127" s="45">
        <f ca="1">IFERROR(__xludf.DUMMYFUNCTION("IMPORTRANGE(""https://docs.google.com/spreadsheets/d/1MeEWN-I1oV_STSDYn1IFDPWt_1FKiwhDph83XaGc0o0/edit?usp=sharing"",""งบพรบ!BI73"")"),0)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IFERROR(__xludf.DUMMYFUNCTION("IMPORTRANGE(""https://docs.google.com/spreadsheets/d/1MeEWN-I1oV_STSDYn1IFDPWt_1FKiwhDph83XaGc0o0/edit?usp=sharing"",""งบพรบ!BK73"")"),0)</f>
        <v>0</v>
      </c>
      <c r="M137" s="45">
        <f ca="1">IFERROR(__xludf.DUMMYFUNCTION("IMPORTRANGE(""https://docs.google.com/spreadsheets/d/1MeEWN-I1oV_STSDYn1IFDPWt_1FKiwhDph83XaGc0o0/edit?usp=sharing"",""งบพรบ!BP73"")"),0)</f>
        <v>0</v>
      </c>
      <c r="N137" s="45">
        <f ca="1">IFERROR(__xludf.DUMMYFUNCTION("IMPORTRANGE(""https://docs.google.com/spreadsheets/d/1MeEWN-I1oV_STSDYn1IFDPWt_1FKiwhDph83XaGc0o0/edit?usp=sharing"",""งบพรบ!BR73"")"),0)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IFERROR(__xludf.DUMMYFUNCTION("IMPORTRANGE(""https://docs.google.com/spreadsheets/d/1MeEWN-I1oV_STSDYn1IFDPWt_1FKiwhDph83XaGc0o0/edit?usp=sharing"",""งบพรบ!BN73"")"),0)</f>
        <v>0</v>
      </c>
      <c r="M140" s="45">
        <f ca="1">IFERROR(__xludf.DUMMYFUNCTION("IMPORTRANGE(""https://docs.google.com/spreadsheets/d/1MeEWN-I1oV_STSDYn1IFDPWt_1FKiwhDph83XaGc0o0/edit?usp=sharing"",""งบพรบ!BQ73"")"),0)</f>
        <v>0</v>
      </c>
      <c r="N140" s="45">
        <f ca="1">IFERROR(__xludf.DUMMYFUNCTION("IMPORTRANGE(""https://docs.google.com/spreadsheets/d/1MeEWN-I1oV_STSDYn1IFDPWt_1FKiwhDph83XaGc0o0/edit?usp=sharing"",""งบพรบ!BS73"")"),0)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IFERROR(__xludf.DUMMYFUNCTION("IMPORTRANGE(""https://docs.google.com/spreadsheets/d/1QqKyyYR6Q21VydFLVH3TRQUabQu_ym0Zz7PgGX0-kHA/edit?usp=sharing"",""แผน!U73"")"),0)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IFERROR(__xludf.DUMMYFUNCTION("IMPORTRANGE(""https://docs.google.com/spreadsheets/d/1QqKyyYR6Q21VydFLVH3TRQUabQu_ym0Zz7PgGX0-kHA/edit?usp=sharing"",""แผน!V73"")"),0)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IFERROR(__xludf.DUMMYFUNCTION("IMPORTRANGE(""https://docs.google.com/spreadsheets/d/1QqKyyYR6Q21VydFLVH3TRQUabQu_ym0Zz7PgGX0-kHA/edit?usp=sharing"",""แผน!W73"")"),0)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IFERROR(__xludf.DUMMYFUNCTION("IMPORTRANGE(""https://docs.google.com/spreadsheets/d/1MeEWN-I1oV_STSDYn1IFDPWt_1FKiwhDph83XaGc0o0/edit?usp=sharing"",""งบพรบ!BU73"")"),0)</f>
        <v>0</v>
      </c>
      <c r="M154" s="45">
        <f ca="1">IFERROR(__xludf.DUMMYFUNCTION("IMPORTRANGE(""https://docs.google.com/spreadsheets/d/1MeEWN-I1oV_STSDYn1IFDPWt_1FKiwhDph83XaGc0o0/edit?usp=sharing"",""งบพรบ!BZ73"")"),0)</f>
        <v>0</v>
      </c>
      <c r="N154" s="45">
        <f ca="1">IFERROR(__xludf.DUMMYFUNCTION("IMPORTRANGE(""https://docs.google.com/spreadsheets/d/1MeEWN-I1oV_STSDYn1IFDPWt_1FKiwhDph83XaGc0o0/edit?usp=sharing"",""งบพรบ!CB73"")"),0)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IFERROR(__xludf.DUMMYFUNCTION("IMPORTRANGE(""https://docs.google.com/spreadsheets/d/1MeEWN-I1oV_STSDYn1IFDPWt_1FKiwhDph83XaGc0o0/edit?usp=sharing"",""งบพรบ!BX73"")"),0)</f>
        <v>0</v>
      </c>
      <c r="M157" s="45">
        <f ca="1">IFERROR(__xludf.DUMMYFUNCTION("IMPORTRANGE(""https://docs.google.com/spreadsheets/d/1MeEWN-I1oV_STSDYn1IFDPWt_1FKiwhDph83XaGc0o0/edit?usp=sharing"",""งบพรบ!CA73"")"),0)</f>
        <v>0</v>
      </c>
      <c r="N157" s="45">
        <f ca="1">IFERROR(__xludf.DUMMYFUNCTION("IMPORTRANGE(""https://docs.google.com/spreadsheets/d/1MeEWN-I1oV_STSDYn1IFDPWt_1FKiwhDph83XaGc0o0/edit?usp=sharing"",""งบพรบ!CC73"")"),0)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IFERROR(__xludf.DUMMYFUNCTION("IMPORTRANGE(""https://docs.google.com/spreadsheets/d/1QqKyyYR6Q21VydFLVH3TRQUabQu_ym0Zz7PgGX0-kHA/edit?usp=sharing"",""แผน!X73"")"),0)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831">
        <f t="shared" ref="I164:J164" ca="1" si="83">I174+I177</f>
        <v>0</v>
      </c>
      <c r="J164" s="831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IFERROR(__xludf.DUMMYFUNCTION("IMPORTRANGE(""https://docs.google.com/spreadsheets/d/1MeEWN-I1oV_STSDYn1IFDPWt_1FKiwhDph83XaGc0o0/edit?usp=sharing"",""งบพรบ!CE73"")"),0)</f>
        <v>0</v>
      </c>
      <c r="M170" s="45">
        <f ca="1">IFERROR(__xludf.DUMMYFUNCTION("IMPORTRANGE(""https://docs.google.com/spreadsheets/d/1MeEWN-I1oV_STSDYn1IFDPWt_1FKiwhDph83XaGc0o0/edit?usp=sharing"",""งบพรบ!CJ73"")"),0)</f>
        <v>0</v>
      </c>
      <c r="N170" s="45">
        <f ca="1">IFERROR(__xludf.DUMMYFUNCTION("IMPORTRANGE(""https://docs.google.com/spreadsheets/d/1MeEWN-I1oV_STSDYn1IFDPWt_1FKiwhDph83XaGc0o0/edit?usp=sharing"",""งบพรบ!CL73"")"),0)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IFERROR(__xludf.DUMMYFUNCTION("IMPORTRANGE(""https://docs.google.com/spreadsheets/d/1MeEWN-I1oV_STSDYn1IFDPWt_1FKiwhDph83XaGc0o0/edit?usp=sharing"",""งบพรบ!CH73"")"),0)</f>
        <v>0</v>
      </c>
      <c r="M173" s="45">
        <f ca="1">IFERROR(__xludf.DUMMYFUNCTION("IMPORTRANGE(""https://docs.google.com/spreadsheets/d/1MeEWN-I1oV_STSDYn1IFDPWt_1FKiwhDph83XaGc0o0/edit?usp=sharing"",""งบพรบ!CK73"")"),0)</f>
        <v>0</v>
      </c>
      <c r="N173" s="45">
        <f ca="1">IFERROR(__xludf.DUMMYFUNCTION("IMPORTRANGE(""https://docs.google.com/spreadsheets/d/1MeEWN-I1oV_STSDYn1IFDPWt_1FKiwhDph83XaGc0o0/edit?usp=sharing"",""งบพรบ!CM73"")"),0)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IFERROR(__xludf.DUMMYFUNCTION("IMPORTRANGE(""https://docs.google.com/spreadsheets/d/1QqKyyYR6Q21VydFLVH3TRQUabQu_ym0Zz7PgGX0-kHA/edit?usp=sharing"",""แผน!Y73"")"),0)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11900</v>
      </c>
      <c r="M181" s="154">
        <f t="shared" ca="1" si="92"/>
        <v>21930</v>
      </c>
      <c r="N181" s="154">
        <f t="shared" ca="1" si="92"/>
        <v>21380</v>
      </c>
      <c r="O181" s="154">
        <f t="shared" ref="O181:O189" ca="1" si="93">IF(L181&gt;0,N181*100/L181,0)</f>
        <v>179.66386554621849</v>
      </c>
      <c r="P181" s="154">
        <f t="shared" ref="P181:P189" ca="1" si="94">IF(M181&gt;0,N181*100/M181,0)</f>
        <v>97.49202006383949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11900</v>
      </c>
      <c r="M183" s="45">
        <f t="shared" ca="1" si="95"/>
        <v>21930</v>
      </c>
      <c r="N183" s="45">
        <f t="shared" ca="1" si="95"/>
        <v>21380</v>
      </c>
      <c r="O183" s="45">
        <f t="shared" ca="1" si="93"/>
        <v>179.66386554621849</v>
      </c>
      <c r="P183" s="45">
        <f t="shared" ca="1" si="94"/>
        <v>97.49202006383949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11900</v>
      </c>
      <c r="M184" s="38">
        <f t="shared" ca="1" si="96"/>
        <v>21930</v>
      </c>
      <c r="N184" s="38">
        <f t="shared" ca="1" si="96"/>
        <v>21380</v>
      </c>
      <c r="O184" s="38">
        <f t="shared" ca="1" si="93"/>
        <v>179.66386554621849</v>
      </c>
      <c r="P184" s="38">
        <f t="shared" ca="1" si="94"/>
        <v>97.49202006383949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IFERROR(__xludf.DUMMYFUNCTION("IMPORTRANGE(""https://docs.google.com/spreadsheets/d/1MeEWN-I1oV_STSDYn1IFDPWt_1FKiwhDph83XaGc0o0/edit?usp=sharing"",""งบพรบ!CO73"")"),11900)</f>
        <v>11900</v>
      </c>
      <c r="M186" s="45">
        <f ca="1">IFERROR(__xludf.DUMMYFUNCTION("IMPORTRANGE(""https://docs.google.com/spreadsheets/d/1MeEWN-I1oV_STSDYn1IFDPWt_1FKiwhDph83XaGc0o0/edit?usp=sharing"",""งบพรบ!CT73"")"),21930)</f>
        <v>21930</v>
      </c>
      <c r="N186" s="45">
        <f ca="1">IFERROR(__xludf.DUMMYFUNCTION("IMPORTRANGE(""https://docs.google.com/spreadsheets/d/1MeEWN-I1oV_STSDYn1IFDPWt_1FKiwhDph83XaGc0o0/edit?usp=sharing"",""งบพรบ!CV73"")"),21380)</f>
        <v>21380</v>
      </c>
      <c r="O186" s="45">
        <f t="shared" ca="1" si="93"/>
        <v>179.66386554621849</v>
      </c>
      <c r="P186" s="45">
        <f t="shared" ca="1" si="94"/>
        <v>97.49202006383949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IFERROR(__xludf.DUMMYFUNCTION("IMPORTRANGE(""https://docs.google.com/spreadsheets/d/1MeEWN-I1oV_STSDYn1IFDPWt_1FKiwhDph83XaGc0o0/edit?usp=sharing"",""งบพรบ!CR73"")"),0)</f>
        <v>0</v>
      </c>
      <c r="M189" s="45">
        <f ca="1">IFERROR(__xludf.DUMMYFUNCTION("IMPORTRANGE(""https://docs.google.com/spreadsheets/d/1MeEWN-I1oV_STSDYn1IFDPWt_1FKiwhDph83XaGc0o0/edit?usp=sharing"",""งบพรบ!CU73"")"),0)</f>
        <v>0</v>
      </c>
      <c r="N189" s="45">
        <f ca="1">IFERROR(__xludf.DUMMYFUNCTION("IMPORTRANGE(""https://docs.google.com/spreadsheets/d/1MeEWN-I1oV_STSDYn1IFDPWt_1FKiwhDph83XaGc0o0/edit?usp=sharing"",""งบพรบ!CW73"")"),0)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IFERROR(__xludf.DUMMYFUNCTION("IMPORTRANGE(""https://docs.google.com/spreadsheets/d/1QqKyyYR6Q21VydFLVH3TRQUabQu_ym0Zz7PgGX0-kHA/edit?usp=sharing"",""แผน!Z73"")"),6000)</f>
        <v>6000</v>
      </c>
      <c r="M191" s="154"/>
      <c r="N191" s="264">
        <v>2080</v>
      </c>
      <c r="O191" s="154">
        <f ca="1">IF(L191&gt;0,N191*100/L191,0)</f>
        <v>34.666666666666664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IFERROR(__xludf.DUMMYFUNCTION("IMPORTRANGE(""https://docs.google.com/spreadsheets/d/1QqKyyYR6Q21VydFLVH3TRQUabQu_ym0Zz7PgGX0-kHA/edit?usp=sharing"",""แผน!AC73"")"),4)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IFERROR(__xludf.DUMMYFUNCTION("IMPORTRANGE(""https://docs.google.com/spreadsheets/d/1QqKyyYR6Q21VydFLVH3TRQUabQu_ym0Zz7PgGX0-kHA/edit?usp=sharing"",""แผน!AE73"")"),0)</f>
        <v>0</v>
      </c>
      <c r="M199" s="38"/>
      <c r="N199" s="271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IFERROR(__xludf.DUMMYFUNCTION("IMPORTRANGE(""https://docs.google.com/spreadsheets/d/1QqKyyYR6Q21VydFLVH3TRQUabQu_ym0Zz7PgGX0-kHA/edit?usp=sharing"",""แผน!AF73"")"),0)</f>
        <v>0</v>
      </c>
      <c r="M200" s="38"/>
      <c r="N200" s="271">
        <v>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 hidden="1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IFERROR(__xludf.DUMMYFUNCTION("IMPORTRANGE(""https://docs.google.com/spreadsheets/d/1QqKyyYR6Q21VydFLVH3TRQUabQu_ym0Zz7PgGX0-kHA/edit?usp=sharing"",""แผน!AG73"")"),0)</f>
        <v>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 hidden="1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IFERROR(__xludf.DUMMYFUNCTION("IMPORTRANGE(""https://docs.google.com/spreadsheets/d/1QqKyyYR6Q21VydFLVH3TRQUabQu_ym0Zz7PgGX0-kHA/edit?usp=sharing"",""แผน!AH73"")"),0)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 hidden="1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IFERROR(__xludf.DUMMYFUNCTION("IMPORTRANGE(""https://docs.google.com/spreadsheets/d/1QqKyyYR6Q21VydFLVH3TRQUabQu_ym0Zz7PgGX0-kHA/edit?usp=sharing"",""แผน!AI73"")"),0)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76" t="s">
        <v>344</v>
      </c>
      <c r="F206" s="177"/>
      <c r="G206" s="178"/>
      <c r="H206" s="174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345</v>
      </c>
      <c r="F207" s="177"/>
      <c r="G207" s="178"/>
      <c r="H207" s="180" t="s">
        <v>66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IFERROR(__xludf.DUMMYFUNCTION("IMPORTRANGE(""https://docs.google.com/spreadsheets/d/1QqKyyYR6Q21VydFLVH3TRQUabQu_ym0Zz7PgGX0-kHA/edit?usp=sharing"",""แผน!AK73"")"),0)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IFERROR(__xludf.DUMMYFUNCTION("IMPORTRANGE(""https://docs.google.com/spreadsheets/d/1QqKyyYR6Q21VydFLVH3TRQUabQu_ym0Zz7PgGX0-kHA/edit?usp=sharing"",""แผน!AL73"")"),0)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IFERROR(__xludf.DUMMYFUNCTION("IMPORTRANGE(""https://docs.google.com/spreadsheets/d/1QqKyyYR6Q21VydFLVH3TRQUabQu_ym0Zz7PgGX0-kHA/edit?usp=sharing"",""แผน!AM73"")"),0)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IFERROR(__xludf.DUMMYFUNCTION("IMPORTRANGE(""https://docs.google.com/spreadsheets/d/1QqKyyYR6Q21VydFLVH3TRQUabQu_ym0Zz7PgGX0-kHA/edit?usp=sharing"",""แผน!AN73"")"),0)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IFERROR(__xludf.DUMMYFUNCTION("IMPORTRANGE(""https://docs.google.com/spreadsheets/d/1QqKyyYR6Q21VydFLVH3TRQUabQu_ym0Zz7PgGX0-kHA/edit?usp=sharing"",""แผน!AN73"")"),0)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2">I224</f>
        <v>5000</v>
      </c>
      <c r="J216" s="260">
        <f t="shared" si="102"/>
        <v>5000</v>
      </c>
      <c r="K216" s="261">
        <f t="shared" ca="1" si="101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5900</v>
      </c>
      <c r="M217" s="154"/>
      <c r="N217" s="154">
        <f>N218+N219+N220</f>
        <v>5350</v>
      </c>
      <c r="O217" s="154">
        <f ca="1">IF(L217&gt;0,N217*100/L217,0)</f>
        <v>90.677966101694921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IFERROR(__xludf.DUMMYFUNCTION("IMPORTRANGE(""https://docs.google.com/spreadsheets/d/1QqKyyYR6Q21VydFLVH3TRQUabQu_ym0Zz7PgGX0-kHA/edit?usp=sharing"",""แผน!AP73"")"),3000)</f>
        <v>3000</v>
      </c>
      <c r="M218" s="38"/>
      <c r="N218" s="271">
        <f>1500+1500+350+1000</f>
        <v>4350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IFERROR(__xludf.DUMMYFUNCTION("IMPORTRANGE(""https://docs.google.com/spreadsheets/d/1QqKyyYR6Q21VydFLVH3TRQUabQu_ym0Zz7PgGX0-kHA/edit?usp=sharing"",""แผน!AQ73"")"),2900)</f>
        <v>2900</v>
      </c>
      <c r="M219" s="38"/>
      <c r="N219" s="271">
        <v>1000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IFERROR(__xludf.DUMMYFUNCTION("IMPORTRANGE(""https://docs.google.com/spreadsheets/d/1QqKyyYR6Q21VydFLVH3TRQUabQu_ym0Zz7PgGX0-kHA/edit?usp=sharing"",""แผน!AR73"")"),0)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IFERROR(__xludf.DUMMYFUNCTION("IMPORTRANGE(""https://docs.google.com/spreadsheets/d/1QqKyyYR6Q21VydFLVH3TRQUabQu_ym0Zz7PgGX0-kHA/edit?usp=sharing"",""แผน!AT73"")"),5000)</f>
        <v>5000</v>
      </c>
      <c r="J223" s="181">
        <v>5000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IFERROR(__xludf.DUMMYFUNCTION("IMPORTRANGE(""https://docs.google.com/spreadsheets/d/1QqKyyYR6Q21VydFLVH3TRQUabQu_ym0Zz7PgGX0-kHA/edit?usp=sharing"",""แผน!AT73"")"),5000)</f>
        <v>5000</v>
      </c>
      <c r="J224" s="181">
        <v>5000</v>
      </c>
      <c r="K224" s="162">
        <f t="shared" ca="1" si="103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IFERROR(__xludf.DUMMYFUNCTION("IMPORTRANGE(""https://docs.google.com/spreadsheets/d/1QqKyyYR6Q21VydFLVH3TRQUabQu_ym0Zz7PgGX0-kHA/edit?usp=sharing"",""แผน!AS73"")"),0)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0</v>
      </c>
      <c r="J226" s="330">
        <f t="shared" si="104"/>
        <v>0</v>
      </c>
      <c r="K226" s="331">
        <f t="shared" ca="1" si="103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0</v>
      </c>
      <c r="M227" s="341"/>
      <c r="N227" s="341">
        <f t="shared" ref="N227:N231" si="106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0</v>
      </c>
      <c r="M228" s="45"/>
      <c r="N228" s="45">
        <f t="shared" si="106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0</v>
      </c>
      <c r="M229" s="45"/>
      <c r="N229" s="45">
        <f t="shared" si="106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0</v>
      </c>
      <c r="M230" s="45"/>
      <c r="N230" s="45">
        <f t="shared" si="106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0</v>
      </c>
      <c r="M231" s="45"/>
      <c r="N231" s="45">
        <f t="shared" si="106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0</v>
      </c>
      <c r="J233" s="44">
        <f t="shared" si="107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0</v>
      </c>
      <c r="J235" s="44">
        <f t="shared" si="108"/>
        <v>0</v>
      </c>
      <c r="K235" s="45">
        <f t="shared" ref="K235:K237" si="109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0</v>
      </c>
      <c r="J236" s="44">
        <f t="shared" si="108"/>
        <v>0</v>
      </c>
      <c r="K236" s="45">
        <f t="shared" si="109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0</v>
      </c>
      <c r="J237" s="260">
        <f t="shared" si="110"/>
        <v>0</v>
      </c>
      <c r="K237" s="261">
        <f t="shared" ca="1" si="109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IFERROR(__xludf.DUMMYFUNCTION("IMPORTRANGE(""https://docs.google.com/spreadsheets/d/1QqKyyYR6Q21VydFLVH3TRQUabQu_ym0Zz7PgGX0-kHA/edit?usp=sharing"",""แผน!AV73"")"),0)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IFERROR(__xludf.DUMMYFUNCTION("IMPORTRANGE(""https://docs.google.com/spreadsheets/d/1QqKyyYR6Q21VydFLVH3TRQUabQu_ym0Zz7PgGX0-kHA/edit?usp=sharing"",""แผน!AW73"")"),0)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IFERROR(__xludf.DUMMYFUNCTION("IMPORTRANGE(""https://docs.google.com/spreadsheets/d/1QqKyyYR6Q21VydFLVH3TRQUabQu_ym0Zz7PgGX0-kHA/edit?usp=sharing"",""แผน!AX73"")"),0)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IFERROR(__xludf.DUMMYFUNCTION("IMPORTRANGE(""https://docs.google.com/spreadsheets/d/1QqKyyYR6Q21VydFLVH3TRQUabQu_ym0Zz7PgGX0-kHA/edit?usp=sharing"",""แผน!AY73"")"),0)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IFERROR(__xludf.DUMMYFUNCTION("IMPORTRANGE(""https://docs.google.com/spreadsheets/d/1QqKyyYR6Q21VydFLVH3TRQUabQu_ym0Zz7PgGX0-kHA/edit?usp=sharing"",""แผน!BE73"")"),0)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1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1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IFERROR(__xludf.DUMMYFUNCTION("IMPORTRANGE(""https://docs.google.com/spreadsheets/d/1QqKyyYR6Q21VydFLVH3TRQUabQu_ym0Zz7PgGX0-kHA/edit?usp=sharing"",""แผน!AZ73"")"),0)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IFERROR(__xludf.DUMMYFUNCTION("IMPORTRANGE(""https://docs.google.com/spreadsheets/d/1QqKyyYR6Q21VydFLVH3TRQUabQu_ym0Zz7PgGX0-kHA/edit?usp=sharing"",""แผน!BA73"")"),0)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IFERROR(__xludf.DUMMYFUNCTION("IMPORTRANGE(""https://docs.google.com/spreadsheets/d/1QqKyyYR6Q21VydFLVH3TRQUabQu_ym0Zz7PgGX0-kHA/edit?usp=sharing"",""แผน!BB73"")"),0)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IFERROR(__xludf.DUMMYFUNCTION("IMPORTRANGE(""https://docs.google.com/spreadsheets/d/1QqKyyYR6Q21VydFLVH3TRQUabQu_ym0Zz7PgGX0-kHA/edit?usp=sharing"",""แผน!BC73"")"),0)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10</v>
      </c>
      <c r="J260" s="242">
        <f t="shared" si="114"/>
        <v>10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158500</v>
      </c>
      <c r="M261" s="154">
        <f t="shared" ca="1" si="115"/>
        <v>158500</v>
      </c>
      <c r="N261" s="154">
        <f t="shared" ca="1" si="115"/>
        <v>115877</v>
      </c>
      <c r="O261" s="154">
        <f t="shared" ref="O261:O269" ca="1" si="116">IF(L261&gt;0,N261*100/L261,0)</f>
        <v>73.108517350157726</v>
      </c>
      <c r="P261" s="154">
        <f t="shared" ref="P261:P269" ca="1" si="117">IF(M261&gt;0,N261*100/M261,0)</f>
        <v>73.108517350157726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158500</v>
      </c>
      <c r="M263" s="45">
        <f t="shared" ca="1" si="118"/>
        <v>158500</v>
      </c>
      <c r="N263" s="45">
        <f t="shared" ca="1" si="118"/>
        <v>115877</v>
      </c>
      <c r="O263" s="45">
        <f t="shared" ca="1" si="116"/>
        <v>73.108517350157726</v>
      </c>
      <c r="P263" s="45">
        <f t="shared" ca="1" si="117"/>
        <v>73.108517350157726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158500</v>
      </c>
      <c r="M264" s="38">
        <f t="shared" ca="1" si="119"/>
        <v>158500</v>
      </c>
      <c r="N264" s="38">
        <f t="shared" ca="1" si="119"/>
        <v>115877</v>
      </c>
      <c r="O264" s="38">
        <f t="shared" ca="1" si="116"/>
        <v>73.108517350157726</v>
      </c>
      <c r="P264" s="38">
        <f t="shared" ca="1" si="117"/>
        <v>73.108517350157726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IFERROR(__xludf.DUMMYFUNCTION("IMPORTRANGE(""https://docs.google.com/spreadsheets/d/1MeEWN-I1oV_STSDYn1IFDPWt_1FKiwhDph83XaGc0o0/edit?usp=sharing"",""งบพรบ!CY73"")"),158500)</f>
        <v>158500</v>
      </c>
      <c r="M266" s="45">
        <f ca="1">IFERROR(__xludf.DUMMYFUNCTION("IMPORTRANGE(""https://docs.google.com/spreadsheets/d/1MeEWN-I1oV_STSDYn1IFDPWt_1FKiwhDph83XaGc0o0/edit?usp=sharing"",""งบพรบ!DD73"")"),158500)</f>
        <v>158500</v>
      </c>
      <c r="N266" s="45">
        <f ca="1">IFERROR(__xludf.DUMMYFUNCTION("IMPORTRANGE(""https://docs.google.com/spreadsheets/d/1MeEWN-I1oV_STSDYn1IFDPWt_1FKiwhDph83XaGc0o0/edit?usp=sharing"",""งบพรบ!DF73"")"),115877)</f>
        <v>115877</v>
      </c>
      <c r="O266" s="45">
        <f t="shared" ca="1" si="116"/>
        <v>73.108517350157726</v>
      </c>
      <c r="P266" s="45">
        <f t="shared" ca="1" si="117"/>
        <v>73.108517350157726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IFERROR(__xludf.DUMMYFUNCTION("IMPORTRANGE(""https://docs.google.com/spreadsheets/d/1MeEWN-I1oV_STSDYn1IFDPWt_1FKiwhDph83XaGc0o0/edit?usp=sharing"",""งบพรบ!DB73"")"),0)</f>
        <v>0</v>
      </c>
      <c r="M269" s="45">
        <f ca="1">IFERROR(__xludf.DUMMYFUNCTION("IMPORTRANGE(""https://docs.google.com/spreadsheets/d/1MeEWN-I1oV_STSDYn1IFDPWt_1FKiwhDph83XaGc0o0/edit?usp=sharing"",""งบพรบ!DE73"")"),0)</f>
        <v>0</v>
      </c>
      <c r="N269" s="45">
        <f ca="1">IFERROR(__xludf.DUMMYFUNCTION("IMPORTRANGE(""https://docs.google.com/spreadsheets/d/1MeEWN-I1oV_STSDYn1IFDPWt_1FKiwhDph83XaGc0o0/edit?usp=sharing"",""งบพรบ!DG73"")"),0)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IFERROR(__xludf.DUMMYFUNCTION("IMPORTRANGE(""https://docs.google.com/spreadsheets/d/1QqKyyYR6Q21VydFLVH3TRQUabQu_ym0Zz7PgGX0-kHA/edit?usp=sharing"",""แผน!EA73"")"),10)</f>
        <v>10</v>
      </c>
      <c r="J271" s="181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3">I287</f>
        <v>0</v>
      </c>
      <c r="J276" s="81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IFERROR(__xludf.DUMMYFUNCTION("IMPORTRANGE(""https://docs.google.com/spreadsheets/d/1MeEWN-I1oV_STSDYn1IFDPWt_1FKiwhDph83XaGc0o0/edit?usp=sharing"",""งบพรบ!DI73"")"),0)</f>
        <v>0</v>
      </c>
      <c r="M282" s="45">
        <f ca="1">IFERROR(__xludf.DUMMYFUNCTION("IMPORTRANGE(""https://docs.google.com/spreadsheets/d/1MeEWN-I1oV_STSDYn1IFDPWt_1FKiwhDph83XaGc0o0/edit?usp=sharing"",""งบพรบ!DN73"")"),0)</f>
        <v>0</v>
      </c>
      <c r="N282" s="45">
        <f ca="1">IFERROR(__xludf.DUMMYFUNCTION("IMPORTRANGE(""https://docs.google.com/spreadsheets/d/1MeEWN-I1oV_STSDYn1IFDPWt_1FKiwhDph83XaGc0o0/edit?usp=sharing"",""งบพรบ!DP73"")"),0)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IFERROR(__xludf.DUMMYFUNCTION("IMPORTRANGE(""https://docs.google.com/spreadsheets/d/1MeEWN-I1oV_STSDYn1IFDPWt_1FKiwhDph83XaGc0o0/edit?usp=sharing"",""งบพรบ!DL73"")"),0)</f>
        <v>0</v>
      </c>
      <c r="M285" s="45">
        <f ca="1">IFERROR(__xludf.DUMMYFUNCTION("IMPORTRANGE(""https://docs.google.com/spreadsheets/d/1MeEWN-I1oV_STSDYn1IFDPWt_1FKiwhDph83XaGc0o0/edit?usp=sharing"",""งบพรบ!DO73"")"),0)</f>
        <v>0</v>
      </c>
      <c r="N285" s="45">
        <f ca="1">IFERROR(__xludf.DUMMYFUNCTION("IMPORTRANGE(""https://docs.google.com/spreadsheets/d/1MeEWN-I1oV_STSDYn1IFDPWt_1FKiwhDph83XaGc0o0/edit?usp=sharing"",""งบพรบ!DQ73"")"),0)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IFERROR(__xludf.DUMMYFUNCTION("IMPORTRANGE(""https://docs.google.com/spreadsheets/d/1QqKyyYR6Q21VydFLVH3TRQUabQu_ym0Zz7PgGX0-kHA/edit?usp=sharing"",""แผน!EC73"")"),0)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IFERROR(__xludf.DUMMYFUNCTION("IMPORTRANGE(""https://docs.google.com/spreadsheets/d/1QqKyyYR6Q21VydFLVH3TRQUabQu_ym0Zz7PgGX0-kHA/edit?usp=sharing"",""แผน!EB73"")"),0)</f>
        <v>0</v>
      </c>
      <c r="J288" s="190">
        <f ca="1">IF(AND(J291&gt;=I288,J294&gt;=I288),J294,0)</f>
        <v>0</v>
      </c>
      <c r="K288" s="390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IFERROR(__xludf.DUMMYFUNCTION("IMPORTRANGE(""https://docs.google.com/spreadsheets/d/1QqKyyYR6Q21VydFLVH3TRQUabQu_ym0Zz7PgGX0-kHA/edit?usp=sharing"",""แผน!EB73"")"),0)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IFERROR(__xludf.DUMMYFUNCTION("IMPORTRANGE(""https://docs.google.com/spreadsheets/d/1QqKyyYR6Q21VydFLVH3TRQUabQu_ym0Zz7PgGX0-kHA/edit?usp=sharing"",""แผน!EB73"")"),0)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IFERROR(__xludf.DUMMYFUNCTION("IMPORTRANGE(""https://docs.google.com/spreadsheets/d/1QqKyyYR6Q21VydFLVH3TRQUabQu_ym0Zz7PgGX0-kHA/edit?usp=sharing"",""แผน!EB73"")"),0)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IFERROR(__xludf.DUMMYFUNCTION("IMPORTRANGE(""https://docs.google.com/spreadsheets/d/1QqKyyYR6Q21VydFLVH3TRQUabQu_ym0Zz7PgGX0-kHA/edit?usp=sharing"",""แผน!EB73"")"),0)</f>
        <v>0</v>
      </c>
      <c r="J294" s="401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0</v>
      </c>
      <c r="J297" s="421">
        <f t="shared" si="133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0</v>
      </c>
      <c r="M298" s="154">
        <f t="shared" ca="1" si="134"/>
        <v>0</v>
      </c>
      <c r="N298" s="154">
        <f t="shared" ca="1" si="134"/>
        <v>0</v>
      </c>
      <c r="O298" s="154">
        <f t="shared" ref="O298:O306" ca="1" si="135">IF(L298&gt;0,N298*100/L298,0)</f>
        <v>0</v>
      </c>
      <c r="P298" s="154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0</v>
      </c>
      <c r="M300" s="45">
        <f t="shared" ca="1" si="137"/>
        <v>0</v>
      </c>
      <c r="N300" s="45">
        <f t="shared" ca="1" si="137"/>
        <v>0</v>
      </c>
      <c r="O300" s="45">
        <f t="shared" ca="1" si="135"/>
        <v>0</v>
      </c>
      <c r="P300" s="45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0</v>
      </c>
      <c r="M301" s="38">
        <f t="shared" ca="1" si="138"/>
        <v>0</v>
      </c>
      <c r="N301" s="38">
        <f t="shared" ca="1" si="138"/>
        <v>0</v>
      </c>
      <c r="O301" s="38">
        <f t="shared" ca="1" si="135"/>
        <v>0</v>
      </c>
      <c r="P301" s="3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IFERROR(__xludf.DUMMYFUNCTION("IMPORTRANGE(""https://docs.google.com/spreadsheets/d/1MeEWN-I1oV_STSDYn1IFDPWt_1FKiwhDph83XaGc0o0/edit?usp=sharing"",""งบพรบ!DS73"")"),0)</f>
        <v>0</v>
      </c>
      <c r="M303" s="45">
        <f ca="1">IFERROR(__xludf.DUMMYFUNCTION("IMPORTRANGE(""https://docs.google.com/spreadsheets/d/1MeEWN-I1oV_STSDYn1IFDPWt_1FKiwhDph83XaGc0o0/edit?usp=sharing"",""งบพรบ!DX73"")"),0)</f>
        <v>0</v>
      </c>
      <c r="N303" s="45">
        <f ca="1">IFERROR(__xludf.DUMMYFUNCTION("IMPORTRANGE(""https://docs.google.com/spreadsheets/d/1MeEWN-I1oV_STSDYn1IFDPWt_1FKiwhDph83XaGc0o0/edit?usp=sharing"",""งบพรบ!DZ73"")"),0)</f>
        <v>0</v>
      </c>
      <c r="O303" s="45">
        <f t="shared" ca="1" si="135"/>
        <v>0</v>
      </c>
      <c r="P303" s="45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IFERROR(__xludf.DUMMYFUNCTION("IMPORTRANGE(""https://docs.google.com/spreadsheets/d/1MeEWN-I1oV_STSDYn1IFDPWt_1FKiwhDph83XaGc0o0/edit?usp=sharing"",""งบพรบ!DV73"")"),0)</f>
        <v>0</v>
      </c>
      <c r="M306" s="45">
        <f ca="1">IFERROR(__xludf.DUMMYFUNCTION("IMPORTRANGE(""https://docs.google.com/spreadsheets/d/1MeEWN-I1oV_STSDYn1IFDPWt_1FKiwhDph83XaGc0o0/edit?usp=sharing"",""งบพรบ!DY73"")"),0)</f>
        <v>0</v>
      </c>
      <c r="N306" s="45">
        <f ca="1">IFERROR(__xludf.DUMMYFUNCTION("IMPORTRANGE(""https://docs.google.com/spreadsheets/d/1MeEWN-I1oV_STSDYn1IFDPWt_1FKiwhDph83XaGc0o0/edit?usp=sharing"",""งบพรบ!EA73"")"),0)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IFERROR(__xludf.DUMMYFUNCTION("IMPORTRANGE(""https://docs.google.com/spreadsheets/d/1QqKyyYR6Q21VydFLVH3TRQUabQu_ym0Zz7PgGX0-kHA/edit?usp=sharing"",""แผน!ED73"")"),0)</f>
        <v>0</v>
      </c>
      <c r="J309" s="181">
        <v>0</v>
      </c>
      <c r="K309" s="38">
        <f t="shared" ref="K309:K312" ca="1" si="140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IFERROR(__xludf.DUMMYFUNCTION("IMPORTRANGE(""https://docs.google.com/spreadsheets/d/1QqKyyYR6Q21VydFLVH3TRQUabQu_ym0Zz7PgGX0-kHA/edit?usp=sharing"",""แผน!ED73"")"),0)</f>
        <v>0</v>
      </c>
      <c r="J310" s="181">
        <v>0</v>
      </c>
      <c r="K310" s="38">
        <f t="shared" ca="1" si="140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IFERROR(__xludf.DUMMYFUNCTION("IMPORTRANGE(""https://docs.google.com/spreadsheets/d/1QqKyyYR6Q21VydFLVH3TRQUabQu_ym0Zz7PgGX0-kHA/edit?usp=sharing"",""แผน!ED73"")"),0)</f>
        <v>0</v>
      </c>
      <c r="J311" s="181">
        <v>0</v>
      </c>
      <c r="K311" s="38">
        <f t="shared" ca="1" si="140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IFERROR(__xludf.DUMMYFUNCTION("IMPORTRANGE(""https://docs.google.com/spreadsheets/d/1QqKyyYR6Q21VydFLVH3TRQUabQu_ym0Zz7PgGX0-kHA/edit?usp=sharing"",""แผน!EE73"")"),0)</f>
        <v>0</v>
      </c>
      <c r="J312" s="181">
        <v>0</v>
      </c>
      <c r="K312" s="38">
        <f t="shared" ca="1" si="140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IFERROR(__xludf.DUMMYFUNCTION("IMPORTRANGE(""https://docs.google.com/spreadsheets/d/1MeEWN-I1oV_STSDYn1IFDPWt_1FKiwhDph83XaGc0o0/edit?usp=sharing"",""งบพรบ!EC73"")"),0)</f>
        <v>0</v>
      </c>
      <c r="M320" s="45">
        <f ca="1">IFERROR(__xludf.DUMMYFUNCTION("IMPORTRANGE(""https://docs.google.com/spreadsheets/d/1MeEWN-I1oV_STSDYn1IFDPWt_1FKiwhDph83XaGc0o0/edit?usp=sharing"",""งบพรบ!EH73"")"),0)</f>
        <v>0</v>
      </c>
      <c r="N320" s="45">
        <f ca="1">IFERROR(__xludf.DUMMYFUNCTION("IMPORTRANGE(""https://docs.google.com/spreadsheets/d/1MeEWN-I1oV_STSDYn1IFDPWt_1FKiwhDph83XaGc0o0/edit?usp=sharing"",""งบพรบ!EJ73"")"),0)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IFERROR(__xludf.DUMMYFUNCTION("IMPORTRANGE(""https://docs.google.com/spreadsheets/d/1MeEWN-I1oV_STSDYn1IFDPWt_1FKiwhDph83XaGc0o0/edit?usp=sharing"",""งบพรบ!EF73"")"),0)</f>
        <v>0</v>
      </c>
      <c r="M323" s="45">
        <f ca="1">IFERROR(__xludf.DUMMYFUNCTION("IMPORTRANGE(""https://docs.google.com/spreadsheets/d/1MeEWN-I1oV_STSDYn1IFDPWt_1FKiwhDph83XaGc0o0/edit?usp=sharing"",""งบพรบ!EI73"")"),0)</f>
        <v>0</v>
      </c>
      <c r="N323" s="45">
        <f ca="1">IFERROR(__xludf.DUMMYFUNCTION("IMPORTRANGE(""https://docs.google.com/spreadsheets/d/1MeEWN-I1oV_STSDYn1IFDPWt_1FKiwhDph83XaGc0o0/edit?usp=sharing"",""งบพรบ!EK73"")"),0)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IFERROR(__xludf.DUMMYFUNCTION("IMPORTRANGE(""https://docs.google.com/spreadsheets/d/1QqKyyYR6Q21VydFLVH3TRQUabQu_ym0Zz7PgGX0-kHA/edit?usp=sharing"",""แผน!EG73"")"),50)</f>
        <v>50</v>
      </c>
      <c r="J327" s="421">
        <f ca="1">J338+J341+J342+J343</f>
        <v>85</v>
      </c>
      <c r="K327" s="422">
        <f ca="1">IF(I327&gt;0,J327*100/I327,0)</f>
        <v>170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353600</v>
      </c>
      <c r="M328" s="154">
        <f t="shared" ca="1" si="148"/>
        <v>356100</v>
      </c>
      <c r="N328" s="154">
        <f t="shared" ca="1" si="148"/>
        <v>286998</v>
      </c>
      <c r="O328" s="154">
        <f t="shared" ref="O328:O336" ca="1" si="149">IF(L328&gt;0,N328*100/L328,0)</f>
        <v>81.164592760180994</v>
      </c>
      <c r="P328" s="154">
        <f t="shared" ref="P328:P336" ca="1" si="150">IF(M328&gt;0,N328*100/M328,0)</f>
        <v>80.594776748104465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353600</v>
      </c>
      <c r="M330" s="45">
        <f t="shared" ca="1" si="151"/>
        <v>356100</v>
      </c>
      <c r="N330" s="45">
        <f t="shared" ca="1" si="151"/>
        <v>286998</v>
      </c>
      <c r="O330" s="45">
        <f t="shared" ca="1" si="149"/>
        <v>81.164592760180994</v>
      </c>
      <c r="P330" s="45">
        <f t="shared" ca="1" si="150"/>
        <v>80.594776748104465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353600</v>
      </c>
      <c r="M331" s="38">
        <f t="shared" ca="1" si="152"/>
        <v>356100</v>
      </c>
      <c r="N331" s="38">
        <f t="shared" ca="1" si="152"/>
        <v>286998</v>
      </c>
      <c r="O331" s="38">
        <f t="shared" ca="1" si="149"/>
        <v>81.164592760180994</v>
      </c>
      <c r="P331" s="38">
        <f t="shared" ca="1" si="150"/>
        <v>80.594776748104465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IFERROR(__xludf.DUMMYFUNCTION("IMPORTRANGE(""https://docs.google.com/spreadsheets/d/1MeEWN-I1oV_STSDYn1IFDPWt_1FKiwhDph83XaGc0o0/edit?usp=sharing"",""งบพรบ!EM73"")"),353600)</f>
        <v>353600</v>
      </c>
      <c r="M333" s="45">
        <f ca="1">IFERROR(__xludf.DUMMYFUNCTION("IMPORTRANGE(""https://docs.google.com/spreadsheets/d/1MeEWN-I1oV_STSDYn1IFDPWt_1FKiwhDph83XaGc0o0/edit?usp=sharing"",""งบพรบ!ER73"")"),356100)</f>
        <v>356100</v>
      </c>
      <c r="N333" s="45">
        <f ca="1">IFERROR(__xludf.DUMMYFUNCTION("IMPORTRANGE(""https://docs.google.com/spreadsheets/d/1MeEWN-I1oV_STSDYn1IFDPWt_1FKiwhDph83XaGc0o0/edit?usp=sharing"",""งบพรบ!ET73"")"),286998)</f>
        <v>286998</v>
      </c>
      <c r="O333" s="45">
        <f t="shared" ca="1" si="149"/>
        <v>81.164592760180994</v>
      </c>
      <c r="P333" s="45">
        <f t="shared" ca="1" si="150"/>
        <v>80.594776748104465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IFERROR(__xludf.DUMMYFUNCTION("IMPORTRANGE(""https://docs.google.com/spreadsheets/d/1MeEWN-I1oV_STSDYn1IFDPWt_1FKiwhDph83XaGc0o0/edit?usp=sharing"",""งบพรบ!EP73"")"),0)</f>
        <v>0</v>
      </c>
      <c r="M336" s="45">
        <f ca="1">IFERROR(__xludf.DUMMYFUNCTION("IMPORTRANGE(""https://docs.google.com/spreadsheets/d/1MeEWN-I1oV_STSDYn1IFDPWt_1FKiwhDph83XaGc0o0/edit?usp=sharing"",""งบพรบ!ES73"")"),0)</f>
        <v>0</v>
      </c>
      <c r="N336" s="45">
        <f ca="1">IFERROR(__xludf.DUMMYFUNCTION("IMPORTRANGE(""https://docs.google.com/spreadsheets/d/1MeEWN-I1oV_STSDYn1IFDPWt_1FKiwhDph83XaGc0o0/edit?usp=sharing"",""งบพรบ!EU73"")"),0)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IFERROR(__xludf.DUMMYFUNCTION("IMPORTRANGE(""https://docs.google.com/spreadsheets/d/1QqKyyYR6Q21VydFLVH3TRQUabQu_ym0Zz7PgGX0-kHA/edit?usp=sharing"",""แผน!EG73"")"),50)</f>
        <v>50</v>
      </c>
      <c r="J338" s="37">
        <f ca="1">IFERROR(__xludf.DUMMYFUNCTION("IMPORTRANGE(""https://docs.google.com/spreadsheets/d/1kVcqe37tkHyjCSG3S0O1AXqVkqjo8mSIZil3BcpIysc/edit?usp=sharing"",""ศูนย์!D73"")"),33)</f>
        <v>33</v>
      </c>
      <c r="K338" s="38">
        <f ca="1">IF(I338&gt;0,J338*100/I338,0)</f>
        <v>66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IFERROR(__xludf.DUMMYFUNCTION("IMPORTRANGE(""https://docs.google.com/spreadsheets/d/1QqKyyYR6Q21VydFLVH3TRQUabQu_ym0Zz7PgGX0-kHA/edit?usp=sharing"",""แผน!EH73"")"),2)</f>
        <v>2</v>
      </c>
      <c r="J340" s="37">
        <f ca="1">IFERROR(__xludf.DUMMYFUNCTION("IMPORTRANGE(""https://docs.google.com/spreadsheets/d/1kVcqe37tkHyjCSG3S0O1AXqVkqjo8mSIZil3BcpIysc/edit?usp=sharing"",""ศูนย์!E73"")"),2)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IFERROR(__xludf.DUMMYFUNCTION("IMPORTRANGE(""https://docs.google.com/spreadsheets/d/1kVcqe37tkHyjCSG3S0O1AXqVkqjo8mSIZil3BcpIysc/edit?usp=sharing"",""ศูนย์!F73"")"),52)</f>
        <v>52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IFERROR(__xludf.DUMMYFUNCTION("IMPORTRANGE(""https://docs.google.com/spreadsheets/d/1kVcqe37tkHyjCSG3S0O1AXqVkqjo8mSIZil3BcpIysc/edit?usp=sharing"",""ศูนย์!G73"")"),0)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IFERROR(__xludf.DUMMYFUNCTION("IMPORTRANGE(""https://docs.google.com/spreadsheets/d/1kVcqe37tkHyjCSG3S0O1AXqVkqjo8mSIZil3BcpIysc/edit?usp=sharing"",""ศูนย์!H73"")"),0)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78110</v>
      </c>
      <c r="M345" s="154">
        <f t="shared" ca="1" si="154"/>
        <v>98610</v>
      </c>
      <c r="N345" s="154">
        <f t="shared" ca="1" si="154"/>
        <v>73717</v>
      </c>
      <c r="O345" s="154">
        <f t="shared" ref="O345:O353" ca="1" si="155">IF(L345&gt;0,N345*100/L345,0)</f>
        <v>94.375880168992452</v>
      </c>
      <c r="P345" s="154">
        <f t="shared" ref="P345:P353" ca="1" si="156">IF(M345&gt;0,N345*100/M345,0)</f>
        <v>74.756109927999191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78110</v>
      </c>
      <c r="M347" s="45">
        <f t="shared" ca="1" si="157"/>
        <v>98610</v>
      </c>
      <c r="N347" s="45">
        <f t="shared" ca="1" si="157"/>
        <v>73717</v>
      </c>
      <c r="O347" s="45">
        <f t="shared" ca="1" si="155"/>
        <v>94.375880168992452</v>
      </c>
      <c r="P347" s="45">
        <f t="shared" ca="1" si="156"/>
        <v>74.756109927999191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48110</v>
      </c>
      <c r="M348" s="38">
        <f t="shared" ca="1" si="158"/>
        <v>68610</v>
      </c>
      <c r="N348" s="38">
        <f t="shared" ca="1" si="158"/>
        <v>43717</v>
      </c>
      <c r="O348" s="38">
        <f t="shared" ca="1" si="155"/>
        <v>90.868842236541255</v>
      </c>
      <c r="P348" s="38">
        <f t="shared" ca="1" si="156"/>
        <v>63.718116892581257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IFERROR(__xludf.DUMMYFUNCTION("IMPORTRANGE(""https://docs.google.com/spreadsheets/d/1MeEWN-I1oV_STSDYn1IFDPWt_1FKiwhDph83XaGc0o0/edit?usp=sharing"",""งบพรบ!EW73"")"),48110)</f>
        <v>48110</v>
      </c>
      <c r="M350" s="45">
        <f ca="1">IFERROR(__xludf.DUMMYFUNCTION("IMPORTRANGE(""https://docs.google.com/spreadsheets/d/1MeEWN-I1oV_STSDYn1IFDPWt_1FKiwhDph83XaGc0o0/edit?usp=sharing"",""งบพรบ!FB73"")"),68610)</f>
        <v>68610</v>
      </c>
      <c r="N350" s="45">
        <f ca="1">IFERROR(__xludf.DUMMYFUNCTION("IMPORTRANGE(""https://docs.google.com/spreadsheets/d/1MeEWN-I1oV_STSDYn1IFDPWt_1FKiwhDph83XaGc0o0/edit?usp=sharing"",""งบพรบ!FD73"")"),43717)</f>
        <v>43717</v>
      </c>
      <c r="O350" s="45">
        <f t="shared" ca="1" si="155"/>
        <v>90.868842236541255</v>
      </c>
      <c r="P350" s="45">
        <f t="shared" ca="1" si="156"/>
        <v>63.718116892581257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30000</v>
      </c>
      <c r="M351" s="38">
        <f t="shared" ca="1" si="159"/>
        <v>30000</v>
      </c>
      <c r="N351" s="38">
        <f t="shared" ca="1" si="159"/>
        <v>30000</v>
      </c>
      <c r="O351" s="38">
        <f t="shared" ca="1" si="155"/>
        <v>100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IFERROR(__xludf.DUMMYFUNCTION("IMPORTRANGE(""https://docs.google.com/spreadsheets/d/1MeEWN-I1oV_STSDYn1IFDPWt_1FKiwhDph83XaGc0o0/edit?usp=sharing"",""งบพรบ!EZ73"")"),30000)</f>
        <v>30000</v>
      </c>
      <c r="M353" s="45">
        <f ca="1">IFERROR(__xludf.DUMMYFUNCTION("IMPORTRANGE(""https://docs.google.com/spreadsheets/d/1MeEWN-I1oV_STSDYn1IFDPWt_1FKiwhDph83XaGc0o0/edit?usp=sharing"",""งบพรบ!FC73"")"),30000)</f>
        <v>30000</v>
      </c>
      <c r="N353" s="45">
        <f ca="1">IFERROR(__xludf.DUMMYFUNCTION("IMPORTRANGE(""https://docs.google.com/spreadsheets/d/1MeEWN-I1oV_STSDYn1IFDPWt_1FKiwhDph83XaGc0o0/edit?usp=sharing"",""งบพรบ!FE73"")"),30000)</f>
        <v>30000</v>
      </c>
      <c r="O353" s="45">
        <f t="shared" ca="1" si="155"/>
        <v>100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 hidden="1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 hidden="1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IFERROR(__xludf.DUMMYFUNCTION("IMPORTRANGE(""https://docs.google.com/spreadsheets/d/1QqKyyYR6Q21VydFLVH3TRQUabQu_ym0Zz7PgGX0-kHA/edit?usp=sharing"",""แผน!EP73"")"),0)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 hidden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 hidden="1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 hidden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IFERROR(__xludf.DUMMYFUNCTION("IMPORTRANGE(""https://docs.google.com/spreadsheets/d/1XWAQStnk-4SwqDmLtmXYiTMKHgktTP8We1SCoS47DrQ/edit?usp=sharing"",""จัดที่ดิน!W73"")"),0)</f>
        <v>0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 hidden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IFERROR(__xludf.DUMMYFUNCTION("IMPORTRANGE(""https://docs.google.com/spreadsheets/d/1QqKyyYR6Q21VydFLVH3TRQUabQu_ym0Zz7PgGX0-kHA/edit?usp=sharing"",""แผน!EO73"")"),0)</f>
        <v>0</v>
      </c>
      <c r="J359" s="37">
        <f ca="1">IFERROR(__xludf.DUMMYFUNCTION("IMPORTRANGE(""https://docs.google.com/spreadsheets/d/1XWAQStnk-4SwqDmLtmXYiTMKHgktTP8We1SCoS47DrQ/edit?usp=sharing"",""จัดที่ดิน!X73"")"),0)</f>
        <v>0</v>
      </c>
      <c r="K359" s="38">
        <f t="shared" ca="1" si="160"/>
        <v>0</v>
      </c>
      <c r="L359" s="162"/>
      <c r="M359" s="162"/>
      <c r="N359" s="162"/>
      <c r="O359" s="162"/>
      <c r="P359" s="162"/>
    </row>
    <row r="360" spans="1:26" ht="19" hidden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IFERROR(__xludf.DUMMYFUNCTION("IMPORTRANGE(""https://docs.google.com/spreadsheets/d/1QqKyyYR6Q21VydFLVH3TRQUabQu_ym0Zz7PgGX0-kHA/edit?usp=sharing"",""แผน!EP73"")"),0)</f>
        <v>0</v>
      </c>
      <c r="J360" s="37">
        <f ca="1">IFERROR(__xludf.DUMMYFUNCTION("IMPORTRANGE(""https://docs.google.com/spreadsheets/d/1XWAQStnk-4SwqDmLtmXYiTMKHgktTP8We1SCoS47DrQ/edit?usp=sharing"",""จัดที่ดิน!Y73"")"),0)</f>
        <v>0</v>
      </c>
      <c r="K360" s="38">
        <f t="shared" ca="1" si="160"/>
        <v>0</v>
      </c>
      <c r="L360" s="162"/>
      <c r="M360" s="162"/>
      <c r="N360" s="162"/>
      <c r="O360" s="162"/>
      <c r="P360" s="162"/>
    </row>
    <row r="361" spans="1:26" ht="19" hidden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IFERROR(__xludf.DUMMYFUNCTION("IMPORTRANGE(""https://docs.google.com/spreadsheets/d/1XWAQStnk-4SwqDmLtmXYiTMKHgktTP8We1SCoS47DrQ/edit?usp=sharing"",""จัดที่ดิน!Z73"")"),0)</f>
        <v>0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 hidden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IFERROR(__xludf.DUMMYFUNCTION("IMPORTRANGE(""https://docs.google.com/spreadsheets/d/1QqKyyYR6Q21VydFLVH3TRQUabQu_ym0Zz7PgGX0-kHA/edit?usp=sharing"",""แผน!EP73"")"),0)</f>
        <v>0</v>
      </c>
      <c r="J362" s="37">
        <f ca="1">IFERROR(__xludf.DUMMYFUNCTION("IMPORTRANGE(""https://docs.google.com/spreadsheets/d/1XWAQStnk-4SwqDmLtmXYiTMKHgktTP8We1SCoS47DrQ/edit?usp=sharing"",""จัดที่ดิน!AA73"")"),0)</f>
        <v>0</v>
      </c>
      <c r="K362" s="38">
        <f t="shared" ca="1" si="160"/>
        <v>0</v>
      </c>
      <c r="L362" s="162"/>
      <c r="M362" s="162"/>
      <c r="N362" s="162"/>
      <c r="O362" s="162"/>
      <c r="P362" s="162"/>
    </row>
    <row r="363" spans="1:26" ht="19" hidden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IFERROR(__xludf.DUMMYFUNCTION("IMPORTRANGE(""https://docs.google.com/spreadsheets/d/1XWAQStnk-4SwqDmLtmXYiTMKHgktTP8We1SCoS47DrQ/edit?usp=sharing"",""จัดที่ดิน!AB73"")"),0)</f>
        <v>0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 hidden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0</v>
      </c>
      <c r="J364" s="452">
        <f t="shared" ca="1" si="161"/>
        <v>0</v>
      </c>
      <c r="K364" s="453">
        <f t="shared" ca="1" si="160"/>
        <v>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 hidden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IFERROR(__xludf.DUMMYFUNCTION("IMPORTRANGE(""https://docs.google.com/spreadsheets/d/1QqKyyYR6Q21VydFLVH3TRQUabQu_ym0Zz7PgGX0-kHA/edit?usp=sharing"",""แผน!EJ73"")"),0)</f>
        <v>0</v>
      </c>
      <c r="J365" s="462">
        <f ca="1">J372</f>
        <v>0</v>
      </c>
      <c r="K365" s="463">
        <f t="shared" ca="1" si="160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 hidden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 hidden="1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 hidden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IFERROR(__xludf.DUMMYFUNCTION("IMPORTRANGE(""https://docs.google.com/spreadsheets/d/1XWAQStnk-4SwqDmLtmXYiTMKHgktTP8We1SCoS47DrQ/edit?usp=sharing"",""จัดที่ดิน!E73"")"),0)</f>
        <v>0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 hidden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IFERROR(__xludf.DUMMYFUNCTION("IMPORTRANGE(""https://docs.google.com/spreadsheets/d/1QqKyyYR6Q21VydFLVH3TRQUabQu_ym0Zz7PgGX0-kHA/edit?usp=sharing"",""แผน!EI73"")"),0)</f>
        <v>0</v>
      </c>
      <c r="J369" s="37">
        <f ca="1">IFERROR(__xludf.DUMMYFUNCTION("IMPORTRANGE(""https://docs.google.com/spreadsheets/d/1XWAQStnk-4SwqDmLtmXYiTMKHgktTP8We1SCoS47DrQ/edit?usp=sharing"",""จัดที่ดิน!F73"")"),0)</f>
        <v>0</v>
      </c>
      <c r="K369" s="38">
        <f t="shared" ca="1" si="162"/>
        <v>0</v>
      </c>
      <c r="L369" s="162"/>
      <c r="M369" s="162"/>
      <c r="N369" s="162"/>
      <c r="O369" s="162"/>
      <c r="P369" s="162"/>
    </row>
    <row r="370" spans="1:26" ht="19" hidden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IFERROR(__xludf.DUMMYFUNCTION("IMPORTRANGE(""https://docs.google.com/spreadsheets/d/1QqKyyYR6Q21VydFLVH3TRQUabQu_ym0Zz7PgGX0-kHA/edit?usp=sharing"",""แผน!EJ73"")"),0)</f>
        <v>0</v>
      </c>
      <c r="J370" s="37">
        <f ca="1">IFERROR(__xludf.DUMMYFUNCTION("IMPORTRANGE(""https://docs.google.com/spreadsheets/d/1XWAQStnk-4SwqDmLtmXYiTMKHgktTP8We1SCoS47DrQ/edit?usp=sharing"",""จัดที่ดิน!G73"")"),0)</f>
        <v>0</v>
      </c>
      <c r="K370" s="38">
        <f t="shared" ca="1" si="162"/>
        <v>0</v>
      </c>
      <c r="L370" s="162"/>
      <c r="M370" s="162"/>
      <c r="N370" s="162"/>
      <c r="O370" s="162"/>
      <c r="P370" s="162"/>
    </row>
    <row r="371" spans="1:26" ht="19" hidden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IFERROR(__xludf.DUMMYFUNCTION("IMPORTRANGE(""https://docs.google.com/spreadsheets/d/1XWAQStnk-4SwqDmLtmXYiTMKHgktTP8We1SCoS47DrQ/edit?usp=sharing"",""จัดที่ดิน!H73"")"),0)</f>
        <v>0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 hidden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IFERROR(__xludf.DUMMYFUNCTION("IMPORTRANGE(""https://docs.google.com/spreadsheets/d/1QqKyyYR6Q21VydFLVH3TRQUabQu_ym0Zz7PgGX0-kHA/edit?usp=sharing"",""แผน!EJ73"")"),0)</f>
        <v>0</v>
      </c>
      <c r="J372" s="37">
        <f ca="1">IFERROR(__xludf.DUMMYFUNCTION("IMPORTRANGE(""https://docs.google.com/spreadsheets/d/1XWAQStnk-4SwqDmLtmXYiTMKHgktTP8We1SCoS47DrQ/edit?usp=sharing"",""จัดที่ดิน!I73"")"),0)</f>
        <v>0</v>
      </c>
      <c r="K372" s="38">
        <f t="shared" ca="1" si="162"/>
        <v>0</v>
      </c>
      <c r="L372" s="162"/>
      <c r="M372" s="162"/>
      <c r="N372" s="162"/>
      <c r="O372" s="162"/>
      <c r="P372" s="162"/>
    </row>
    <row r="373" spans="1:26" ht="19" hidden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IFERROR(__xludf.DUMMYFUNCTION("IMPORTRANGE(""https://docs.google.com/spreadsheets/d/1XWAQStnk-4SwqDmLtmXYiTMKHgktTP8We1SCoS47DrQ/edit?usp=sharing"",""จัดที่ดิน!J73"")"),0)</f>
        <v>0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 hidden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IFERROR(__xludf.DUMMYFUNCTION("IMPORTRANGE(""https://docs.google.com/spreadsheets/d/1QqKyyYR6Q21VydFLVH3TRQUabQu_ym0Zz7PgGX0-kHA/edit?usp=sharing"",""แผน!EU73"")"),0)</f>
        <v>0</v>
      </c>
      <c r="J374" s="462">
        <f ca="1">J381</f>
        <v>0</v>
      </c>
      <c r="K374" s="463">
        <f t="shared" ca="1" si="162"/>
        <v>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 hidden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 hidden="1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 hidden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IFERROR(__xludf.DUMMYFUNCTION("IMPORTRANGE(""https://docs.google.com/spreadsheets/d/1XWAQStnk-4SwqDmLtmXYiTMKHgktTP8We1SCoS47DrQ/edit?usp=sharing"",""จัดที่ดิน!AH73"")"),0)</f>
        <v>0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 hidden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IFERROR(__xludf.DUMMYFUNCTION("IMPORTRANGE(""https://docs.google.com/spreadsheets/d/1QqKyyYR6Q21VydFLVH3TRQUabQu_ym0Zz7PgGX0-kHA/edit?usp=sharing"",""แผน!ET73"")"),0)</f>
        <v>0</v>
      </c>
      <c r="J378" s="37">
        <f ca="1">IFERROR(__xludf.DUMMYFUNCTION("IMPORTRANGE(""https://docs.google.com/spreadsheets/d/1XWAQStnk-4SwqDmLtmXYiTMKHgktTP8We1SCoS47DrQ/edit?usp=sharing"",""จัดที่ดิน!AI73"")"),0)</f>
        <v>0</v>
      </c>
      <c r="K378" s="38">
        <f t="shared" ca="1" si="163"/>
        <v>0</v>
      </c>
      <c r="L378" s="162"/>
      <c r="M378" s="162"/>
      <c r="N378" s="162"/>
      <c r="O378" s="162"/>
      <c r="P378" s="162"/>
    </row>
    <row r="379" spans="1:26" ht="19" hidden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IFERROR(__xludf.DUMMYFUNCTION("IMPORTRANGE(""https://docs.google.com/spreadsheets/d/1QqKyyYR6Q21VydFLVH3TRQUabQu_ym0Zz7PgGX0-kHA/edit?usp=sharing"",""แผน!EU73"")"),0)</f>
        <v>0</v>
      </c>
      <c r="J379" s="37">
        <f ca="1">IFERROR(__xludf.DUMMYFUNCTION("IMPORTRANGE(""https://docs.google.com/spreadsheets/d/1XWAQStnk-4SwqDmLtmXYiTMKHgktTP8We1SCoS47DrQ/edit?usp=sharing"",""จัดที่ดิน!AJ73"")"),0)</f>
        <v>0</v>
      </c>
      <c r="K379" s="38">
        <f t="shared" ca="1" si="163"/>
        <v>0</v>
      </c>
      <c r="L379" s="162"/>
      <c r="M379" s="162"/>
      <c r="N379" s="162"/>
      <c r="O379" s="162"/>
      <c r="P379" s="162"/>
    </row>
    <row r="380" spans="1:26" ht="19" hidden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IFERROR(__xludf.DUMMYFUNCTION("IMPORTRANGE(""https://docs.google.com/spreadsheets/d/1XWAQStnk-4SwqDmLtmXYiTMKHgktTP8We1SCoS47DrQ/edit?usp=sharing"",""จัดที่ดิน!AK73"")"),0)</f>
        <v>0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 hidden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IFERROR(__xludf.DUMMYFUNCTION("IMPORTRANGE(""https://docs.google.com/spreadsheets/d/1QqKyyYR6Q21VydFLVH3TRQUabQu_ym0Zz7PgGX0-kHA/edit?usp=sharing"",""แผน!EU73"")"),0)</f>
        <v>0</v>
      </c>
      <c r="J381" s="37">
        <f ca="1">IFERROR(__xludf.DUMMYFUNCTION("IMPORTRANGE(""https://docs.google.com/spreadsheets/d/1XWAQStnk-4SwqDmLtmXYiTMKHgktTP8We1SCoS47DrQ/edit?usp=sharing"",""จัดที่ดิน!AL73"")"),0)</f>
        <v>0</v>
      </c>
      <c r="K381" s="38">
        <f t="shared" ca="1" si="163"/>
        <v>0</v>
      </c>
      <c r="L381" s="162"/>
      <c r="M381" s="162"/>
      <c r="N381" s="162"/>
      <c r="O381" s="162"/>
      <c r="P381" s="162"/>
    </row>
    <row r="382" spans="1:26" ht="19" hidden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IFERROR(__xludf.DUMMYFUNCTION("IMPORTRANGE(""https://docs.google.com/spreadsheets/d/1XWAQStnk-4SwqDmLtmXYiTMKHgktTP8We1SCoS47DrQ/edit?usp=sharing"",""จัดที่ดิน!AM73"")"),0)</f>
        <v>0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 hidden="1">
      <c r="A383" s="245"/>
      <c r="B383" s="253"/>
      <c r="C383" s="246"/>
      <c r="D383" s="811" t="s">
        <v>346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 hidden="1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 hidden="1">
      <c r="A385" s="360"/>
      <c r="B385" s="363"/>
      <c r="C385" s="361"/>
      <c r="D385" s="363"/>
      <c r="E385" s="470" t="s">
        <v>163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IFERROR(__xludf.DUMMYFUNCTION("IMPORTRANGE(""https://docs.google.com/spreadsheets/d/1QqKyyYR6Q21VydFLVH3TRQUabQu_ym0Zz7PgGX0-kHA/edit?usp=sharing"",""แผน!EW73"")"),0)</f>
        <v>0</v>
      </c>
      <c r="J385" s="365">
        <f ca="1">IFERROR(__xludf.DUMMYFUNCTION("IMPORTRANGE(""https://docs.google.com/spreadsheets/d/1XWAQStnk-4SwqDmLtmXYiTMKHgktTP8We1SCoS47DrQ/edit?usp=sharing"",""จัดที่ดิน!AP73"")"),0)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4">I400</f>
        <v>0</v>
      </c>
      <c r="J388" s="492">
        <f t="shared" si="164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IFERROR(__xludf.DUMMYFUNCTION("IMPORTRANGE(""https://docs.google.com/spreadsheets/d/1MeEWN-I1oV_STSDYn1IFDPWt_1FKiwhDph83XaGc0o0/edit?usp=sharing"",""งบพรบ!FG73"")"),0)</f>
        <v>0</v>
      </c>
      <c r="M394" s="45">
        <f ca="1">IFERROR(__xludf.DUMMYFUNCTION("IMPORTRANGE(""https://docs.google.com/spreadsheets/d/1MeEWN-I1oV_STSDYn1IFDPWt_1FKiwhDph83XaGc0o0/edit?usp=sharing"",""งบพรบ!FL73"")"),0)</f>
        <v>0</v>
      </c>
      <c r="N394" s="45">
        <f ca="1">IFERROR(__xludf.DUMMYFUNCTION("IMPORTRANGE(""https://docs.google.com/spreadsheets/d/1MeEWN-I1oV_STSDYn1IFDPWt_1FKiwhDph83XaGc0o0/edit?usp=sharing"",""งบพรบ!FN73"")"),0)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IFERROR(__xludf.DUMMYFUNCTION("IMPORTRANGE(""https://docs.google.com/spreadsheets/d/1MeEWN-I1oV_STSDYn1IFDPWt_1FKiwhDph83XaGc0o0/edit?usp=sharing"",""งบพรบ!FJ73"")"),0)</f>
        <v>0</v>
      </c>
      <c r="M397" s="45">
        <f ca="1">IFERROR(__xludf.DUMMYFUNCTION("IMPORTRANGE(""https://docs.google.com/spreadsheets/d/1MeEWN-I1oV_STSDYn1IFDPWt_1FKiwhDph83XaGc0o0/edit?usp=sharing"",""งบพรบ!FM73"")"),0)</f>
        <v>0</v>
      </c>
      <c r="N397" s="45">
        <f ca="1">IFERROR(__xludf.DUMMYFUNCTION("IMPORTRANGE(""https://docs.google.com/spreadsheets/d/1MeEWN-I1oV_STSDYn1IFDPWt_1FKiwhDph83XaGc0o0/edit?usp=sharing"",""งบพรบ!FO73"")"),0)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2">I412</f>
        <v>0</v>
      </c>
      <c r="J401" s="492">
        <f t="shared" si="172"/>
        <v>0</v>
      </c>
      <c r="K401" s="493">
        <f t="shared" si="171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IFERROR(__xludf.DUMMYFUNCTION("IMPORTRANGE(""https://docs.google.com/spreadsheets/d/1MeEWN-I1oV_STSDYn1IFDPWt_1FKiwhDph83XaGc0o0/edit?usp=sharing"",""งบพรบ!FQ73"")"),0)</f>
        <v>0</v>
      </c>
      <c r="M407" s="45">
        <f ca="1">IFERROR(__xludf.DUMMYFUNCTION("IMPORTRANGE(""https://docs.google.com/spreadsheets/d/1MeEWN-I1oV_STSDYn1IFDPWt_1FKiwhDph83XaGc0o0/edit?usp=sharing"",""งบพรบ!FV73"")"),0)</f>
        <v>0</v>
      </c>
      <c r="N407" s="45">
        <f ca="1">IFERROR(__xludf.DUMMYFUNCTION("IMPORTRANGE(""https://docs.google.com/spreadsheets/d/1MeEWN-I1oV_STSDYn1IFDPWt_1FKiwhDph83XaGc0o0/edit?usp=sharing"",""งบพรบ!FX73"")"),0)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IFERROR(__xludf.DUMMYFUNCTION("IMPORTRANGE(""https://docs.google.com/spreadsheets/d/1MeEWN-I1oV_STSDYn1IFDPWt_1FKiwhDph83XaGc0o0/edit?usp=sharing"",""งบพรบ!FT73"")"),0)</f>
        <v>0</v>
      </c>
      <c r="M410" s="45">
        <f ca="1">IFERROR(__xludf.DUMMYFUNCTION("IMPORTRANGE(""https://docs.google.com/spreadsheets/d/1MeEWN-I1oV_STSDYn1IFDPWt_1FKiwhDph83XaGc0o0/edit?usp=sharing"",""งบพรบ!FW73"")"),0)</f>
        <v>0</v>
      </c>
      <c r="N410" s="45">
        <f ca="1">IFERROR(__xludf.DUMMYFUNCTION("IMPORTRANGE(""https://docs.google.com/spreadsheets/d/1MeEWN-I1oV_STSDYn1IFDPWt_1FKiwhDph83XaGc0o0/edit?usp=sharing"",""งบพรบ!FY73"")"),0)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79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0">L419+L444+L467+L502+L523+L544+L629+L655+L685+L737+L754+L770+L786+L805</f>
        <v>251580</v>
      </c>
      <c r="M414" s="518">
        <f t="shared" ca="1" si="180"/>
        <v>251580</v>
      </c>
      <c r="N414" s="518">
        <f t="shared" si="180"/>
        <v>146615</v>
      </c>
      <c r="O414" s="518">
        <f ca="1">IF(L414&gt;0,N414*100/L414,0)</f>
        <v>58.27768503060657</v>
      </c>
      <c r="P414" s="518">
        <f ca="1">IF(M414&gt;0,N414*100/M414,0)</f>
        <v>58.27768503060657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1">I433</f>
        <v>10</v>
      </c>
      <c r="J417" s="533">
        <f t="shared" ca="1" si="181"/>
        <v>10</v>
      </c>
      <c r="K417" s="534">
        <f t="shared" ref="K417:K418" ca="1" si="182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1"/>
        <v>1</v>
      </c>
      <c r="J418" s="533">
        <f t="shared" si="181"/>
        <v>1</v>
      </c>
      <c r="K418" s="534">
        <f t="shared" ca="1" si="182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54560</v>
      </c>
      <c r="M419" s="154">
        <f t="shared" ca="1" si="183"/>
        <v>54560</v>
      </c>
      <c r="N419" s="154">
        <f t="shared" si="183"/>
        <v>50973</v>
      </c>
      <c r="O419" s="154">
        <f t="shared" ref="O419:O424" ca="1" si="184">IF(L419&gt;0,N419*100/L419,0)</f>
        <v>93.425586510263926</v>
      </c>
      <c r="P419" s="154">
        <f t="shared" ref="P419:P424" ca="1" si="185">IF(M419&gt;0,N419*100/M419,0)</f>
        <v>93.425586510263926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54560</v>
      </c>
      <c r="M421" s="45">
        <f t="shared" ca="1" si="186"/>
        <v>54560</v>
      </c>
      <c r="N421" s="45">
        <f t="shared" si="186"/>
        <v>50973</v>
      </c>
      <c r="O421" s="45">
        <f t="shared" ca="1" si="184"/>
        <v>93.425586510263926</v>
      </c>
      <c r="P421" s="45">
        <f t="shared" ca="1" si="185"/>
        <v>93.425586510263926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54560</v>
      </c>
      <c r="M422" s="38">
        <f t="shared" ca="1" si="187"/>
        <v>54560</v>
      </c>
      <c r="N422" s="38">
        <f t="shared" si="187"/>
        <v>50973</v>
      </c>
      <c r="O422" s="38">
        <f t="shared" ca="1" si="184"/>
        <v>93.425586510263926</v>
      </c>
      <c r="P422" s="38">
        <f t="shared" ca="1" si="185"/>
        <v>93.425586510263926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IFERROR(__xludf.DUMMYFUNCTION("IMPORTRANGE(""https://docs.google.com/spreadsheets/d/1QqKyyYR6Q21VydFLVH3TRQUabQu_ym0Zz7PgGX0-kHA/edit?usp=sharing"",""แผน!EY73"")"),54560)</f>
        <v>54560</v>
      </c>
      <c r="M424" s="45">
        <f ca="1">L424</f>
        <v>54560</v>
      </c>
      <c r="N424" s="45">
        <f>N425+N426+N427+N428</f>
        <v>50973</v>
      </c>
      <c r="O424" s="45">
        <f t="shared" ca="1" si="184"/>
        <v>93.425586510263926</v>
      </c>
      <c r="P424" s="45">
        <f t="shared" ca="1" si="185"/>
        <v>93.425586510263926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f>2210+350+1500+700+3600+3600+1500+700+350+3600+1500+700+3600+1500+700+7200+1500+700+350+1913+2560</f>
        <v>40333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>2000+3240+1500+1500+2400</f>
        <v>10640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IFERROR(__xludf.DUMMYFUNCTION("IMPORTRANGE(""https://docs.google.com/spreadsheets/d/1QqKyyYR6Q21VydFLVH3TRQUabQu_ym0Zz7PgGX0-kHA/edit?usp=sharing"",""แผน!FB73"")"),0)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10</v>
      </c>
      <c r="J433" s="190">
        <f ca="1">IF(AND(J435=I435,J437=I437,J439=I439),I437+I439,IF(AND(J435=I437,J437=I437),I437,IF(AND(J435=I439,J439=I439),I439,0)))</f>
        <v>10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IFERROR(__xludf.DUMMYFUNCTION("IMPORTRANGE(""https://docs.google.com/spreadsheets/d/1QqKyyYR6Q21VydFLVH3TRQUabQu_ym0Zz7PgGX0-kHA/edit?usp=sharing"",""แผน!FC73"")"),10)</f>
        <v>10</v>
      </c>
      <c r="J435" s="546">
        <v>10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IFERROR(__xludf.DUMMYFUNCTION("IMPORTRANGE(""https://docs.google.com/spreadsheets/d/1QqKyyYR6Q21VydFLVH3TRQUabQu_ym0Zz7PgGX0-kHA/edit?usp=sharing"",""แผน!FD73"")"),0)</f>
        <v>0</v>
      </c>
      <c r="J437" s="546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IFERROR(__xludf.DUMMYFUNCTION("IMPORTRANGE(""https://docs.google.com/spreadsheets/d/1QqKyyYR6Q21VydFLVH3TRQUabQu_ym0Zz7PgGX0-kHA/edit?usp=sharing"",""แผน!FE73"")"),0)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IFERROR(__xludf.DUMMYFUNCTION("IMPORTRANGE(""https://docs.google.com/spreadsheets/d/1QqKyyYR6Q21VydFLVH3TRQUabQu_ym0Zz7PgGX0-kHA/edit?usp=sharing"",""แผน!FF73"")"),10)</f>
        <v>10</v>
      </c>
      <c r="J439" s="546">
        <v>10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IFERROR(__xludf.DUMMYFUNCTION("IMPORTRANGE(""https://docs.google.com/spreadsheets/d/1QqKyyYR6Q21VydFLVH3TRQUabQu_ym0Zz7PgGX0-kHA/edit?usp=sharing"",""แผน!FG73"")"),1)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IFERROR(__xludf.DUMMYFUNCTION("IMPORTRANGE(""https://docs.google.com/spreadsheets/d/1QqKyyYR6Q21VydFLVH3TRQUabQu_ym0Zz7PgGX0-kHA/edit?usp=sharing"",""แผน!FH73"")"),0)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4">I460</f>
        <v>15</v>
      </c>
      <c r="J442" s="552">
        <f t="shared" si="194"/>
        <v>15</v>
      </c>
      <c r="K442" s="553">
        <f t="shared" ca="1" si="193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5">I462</f>
        <v>30</v>
      </c>
      <c r="J443" s="533">
        <f t="shared" si="195"/>
        <v>30</v>
      </c>
      <c r="K443" s="534">
        <f t="shared" ca="1" si="193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6">L445+L446</f>
        <v>86360</v>
      </c>
      <c r="M444" s="191">
        <f t="shared" ca="1" si="196"/>
        <v>86360</v>
      </c>
      <c r="N444" s="191">
        <f t="shared" si="196"/>
        <v>86360</v>
      </c>
      <c r="O444" s="191">
        <f t="shared" ref="O444:O449" ca="1" si="197">IF(L444&gt;0,N444*100/L444,0)</f>
        <v>100</v>
      </c>
      <c r="P444" s="191">
        <f t="shared" ref="P444:P449" ca="1" si="198">IF(M444&gt;0,N444*100/M444,0)</f>
        <v>100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199"/>
        <v>86360</v>
      </c>
      <c r="M446" s="45">
        <f t="shared" ca="1" si="199"/>
        <v>86360</v>
      </c>
      <c r="N446" s="45">
        <f t="shared" si="199"/>
        <v>86360</v>
      </c>
      <c r="O446" s="45">
        <f t="shared" ca="1" si="197"/>
        <v>100</v>
      </c>
      <c r="P446" s="45">
        <f t="shared" ca="1" si="198"/>
        <v>100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86360</v>
      </c>
      <c r="M447" s="38">
        <f t="shared" ca="1" si="200"/>
        <v>86360</v>
      </c>
      <c r="N447" s="38">
        <f t="shared" si="200"/>
        <v>86360</v>
      </c>
      <c r="O447" s="38">
        <f t="shared" ca="1" si="197"/>
        <v>100</v>
      </c>
      <c r="P447" s="38">
        <f t="shared" ca="1" si="198"/>
        <v>100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IFERROR(__xludf.DUMMYFUNCTION("IMPORTRANGE(""https://docs.google.com/spreadsheets/d/1QqKyyYR6Q21VydFLVH3TRQUabQu_ym0Zz7PgGX0-kHA/edit?usp=sharing"",""แผน!FJ73"")"),86360)</f>
        <v>86360</v>
      </c>
      <c r="M449" s="45">
        <f ca="1">L449</f>
        <v>86360</v>
      </c>
      <c r="N449" s="45">
        <f>N450+N451+N452+N453</f>
        <v>86360</v>
      </c>
      <c r="O449" s="45">
        <f t="shared" ca="1" si="197"/>
        <v>100</v>
      </c>
      <c r="P449" s="45">
        <f t="shared" ca="1" si="198"/>
        <v>100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f>26890+3000+1400+6000+3500+7550</f>
        <v>48340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f>19568+14952</f>
        <v>34520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f>2000+1500</f>
        <v>3500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IFERROR(__xludf.DUMMYFUNCTION("IMPORTRANGE(""https://docs.google.com/spreadsheets/d/1QqKyyYR6Q21VydFLVH3TRQUabQu_ym0Zz7PgGX0-kHA/edit?usp=sharing"",""แผน!FM73"")"),0)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IFERROR(__xludf.DUMMYFUNCTION("IMPORTRANGE(""https://docs.google.com/spreadsheets/d/1QqKyyYR6Q21VydFLVH3TRQUabQu_ym0Zz7PgGX0-kHA/edit?usp=sharing"",""แผน!FN73"")"),15)</f>
        <v>15</v>
      </c>
      <c r="J460" s="181">
        <v>15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IFERROR(__xludf.DUMMYFUNCTION("IMPORTRANGE(""https://docs.google.com/spreadsheets/d/1QqKyyYR6Q21VydFLVH3TRQUabQu_ym0Zz7PgGX0-kHA/edit?usp=sharing"",""แผน!FO73"")"),30)</f>
        <v>30</v>
      </c>
      <c r="J462" s="181">
        <v>30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IFERROR(__xludf.DUMMYFUNCTION("IMPORTRANGE(""https://docs.google.com/spreadsheets/d/1QqKyyYR6Q21VydFLVH3TRQUabQu_ym0Zz7PgGX0-kHA/edit?usp=sharing"",""แผน!FO73"")"),30)</f>
        <v>30</v>
      </c>
      <c r="J463" s="181">
        <v>30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IFERROR(__xludf.DUMMYFUNCTION("IMPORTRANGE(""https://docs.google.com/spreadsheets/d/1QqKyyYR6Q21VydFLVH3TRQUabQu_ym0Zz7PgGX0-kHA/edit?usp=sharing"",""แผน!FN73"")"),15)</f>
        <v>15</v>
      </c>
      <c r="J464" s="181">
        <v>15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IFERROR(__xludf.DUMMYFUNCTION("IMPORTRANGE(""https://docs.google.com/spreadsheets/d/1QqKyyYR6Q21VydFLVH3TRQUabQu_ym0Zz7PgGX0-kHA/edit?usp=sharing"",""แผน!FX73"")"),0)</f>
        <v>0</v>
      </c>
      <c r="J465" s="552">
        <f>J485+J489+J492</f>
        <v>0</v>
      </c>
      <c r="K465" s="553">
        <f t="shared" ref="K465:K466" ca="1" si="204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IFERROR(__xludf.DUMMYFUNCTION("IMPORTRANGE(""https://docs.google.com/spreadsheets/d/1QqKyyYR6Q21VydFLVH3TRQUabQu_ym0Zz7PgGX0-kHA/edit?usp=sharing"",""แผน!FW73"")"),0)</f>
        <v>0</v>
      </c>
      <c r="J466" s="533">
        <f>J483+J487</f>
        <v>0</v>
      </c>
      <c r="K466" s="534">
        <f t="shared" ca="1" si="204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8"/>
        <v>0</v>
      </c>
      <c r="M469" s="45">
        <f t="shared" si="208"/>
        <v>0</v>
      </c>
      <c r="N469" s="45">
        <f t="shared" si="208"/>
        <v>0</v>
      </c>
      <c r="O469" s="45">
        <f t="shared" ca="1" si="206"/>
        <v>0</v>
      </c>
      <c r="P469" s="45">
        <f t="shared" si="207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0</v>
      </c>
      <c r="M470" s="38">
        <f t="shared" si="209"/>
        <v>0</v>
      </c>
      <c r="N470" s="38">
        <f t="shared" si="209"/>
        <v>0</v>
      </c>
      <c r="O470" s="38">
        <f t="shared" ca="1" si="206"/>
        <v>0</v>
      </c>
      <c r="P470" s="38">
        <f t="shared" si="207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IFERROR(__xludf.DUMMYFUNCTION("IMPORTRANGE(""https://docs.google.com/spreadsheets/d/1QqKyyYR6Q21VydFLVH3TRQUabQu_ym0Zz7PgGX0-kHA/edit?usp=sharing"",""แผน!FS73"")"),0)</f>
        <v>0</v>
      </c>
      <c r="M472" s="45">
        <v>0</v>
      </c>
      <c r="N472" s="45">
        <f>N473+N474+N475+N476</f>
        <v>0</v>
      </c>
      <c r="O472" s="45">
        <f t="shared" ca="1" si="206"/>
        <v>0</v>
      </c>
      <c r="P472" s="45">
        <f t="shared" si="207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IFERROR(__xludf.DUMMYFUNCTION("IMPORTRANGE(""https://docs.google.com/spreadsheets/d/1QqKyyYR6Q21VydFLVH3TRQUabQu_ym0Zz7PgGX0-kHA/edit?usp=sharing"",""แผน!FV73"")"),0)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IFERROR(__xludf.DUMMYFUNCTION("IMPORTRANGE(""https://docs.google.com/spreadsheets/d/1QqKyyYR6Q21VydFLVH3TRQUabQu_ym0Zz7PgGX0-kHA/edit?usp=sharing"",""แผน!FY73"")"),0)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IFERROR(__xludf.DUMMYFUNCTION("IMPORTRANGE(""https://docs.google.com/spreadsheets/d/1QqKyyYR6Q21VydFLVH3TRQUabQu_ym0Zz7PgGX0-kHA/edit?usp=sharing"",""แผน!FZ73"")"),0)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IFERROR(__xludf.DUMMYFUNCTION("IMPORTRANGE(""https://docs.google.com/spreadsheets/d/1QqKyyYR6Q21VydFLVH3TRQUabQu_ym0Zz7PgGX0-kHA/edit?usp=sharing"",""แผน!GA73"")"),0)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IFERROR(__xludf.DUMMYFUNCTION("IMPORTRANGE(""https://docs.google.com/spreadsheets/d/1QqKyyYR6Q21VydFLVH3TRQUabQu_ym0Zz7PgGX0-kHA/edit?usp=sharing"",""แผน!GB73"")"),0)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IFERROR(__xludf.DUMMYFUNCTION("IMPORTRANGE(""https://docs.google.com/spreadsheets/d/1QqKyyYR6Q21VydFLVH3TRQUabQu_ym0Zz7PgGX0-kHA/edit?usp=sharing"",""แผน!GC73"")"),0)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IFERROR(__xludf.DUMMYFUNCTION("IMPORTRANGE(""https://docs.google.com/spreadsheets/d/1QqKyyYR6Q21VydFLVH3TRQUabQu_ym0Zz7PgGX0-kHA/edit?usp=sharing"",""แผน!FY73"")"),0)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IFERROR(__xludf.DUMMYFUNCTION("IMPORTRANGE(""https://docs.google.com/spreadsheets/d/1QqKyyYR6Q21VydFLVH3TRQUabQu_ym0Zz7PgGX0-kHA/edit?usp=sharing"",""แผน!GA73"")"),0)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3">J516</f>
        <v>0</v>
      </c>
      <c r="K500" s="586">
        <f t="shared" ref="K500:K501" si="214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3"/>
        <v>0</v>
      </c>
      <c r="K501" s="594">
        <f t="shared" si="214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5">L503+L504</f>
        <v>0</v>
      </c>
      <c r="M502" s="598">
        <f t="shared" si="215"/>
        <v>0</v>
      </c>
      <c r="N502" s="598">
        <f t="shared" si="215"/>
        <v>0</v>
      </c>
      <c r="O502" s="598">
        <f t="shared" ref="O502:O507" si="216">IF(L502&gt;0,N502*100/L502,0)</f>
        <v>0</v>
      </c>
      <c r="P502" s="598">
        <f t="shared" ref="P502:P507" si="217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3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4">I537</f>
        <v>0</v>
      </c>
      <c r="J522" s="627">
        <f t="shared" ca="1" si="224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IFERROR(__xludf.DUMMYFUNCTION("IMPORTRANGE(""https://docs.google.com/spreadsheets/d/1QqKyyYR6Q21VydFLVH3TRQUabQu_ym0Zz7PgGX0-kHA/edit?usp=sharing"",""แผน!GQ73"")"),0)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IFERROR(__xludf.DUMMYFUNCTION("IMPORTRANGE(""https://docs.google.com/spreadsheets/d/1QqKyyYR6Q21VydFLVH3TRQUabQu_ym0Zz7PgGX0-kHA/edit?usp=sharing"",""แผน!GT73"")"),0)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IFERROR(__xludf.DUMMYFUNCTION("IMPORTRANGE(""https://docs.google.com/spreadsheets/d/1QqKyyYR6Q21VydFLVH3TRQUabQu_ym0Zz7PgGX0-kHA/edit?usp=sharing"",""แผน!GU73"")"),0)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IFERROR(__xludf.DUMMYFUNCTION("IMPORTRANGE(""https://docs.google.com/spreadsheets/d/1QqKyyYR6Q21VydFLVH3TRQUabQu_ym0Zz7PgGX0-kHA/edit?usp=sharing"",""แผน!GV73"")"),0)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IFERROR(__xludf.DUMMYFUNCTION("IMPORTRANGE(""https://docs.google.com/spreadsheets/d/1QqKyyYR6Q21VydFLVH3TRQUabQu_ym0Zz7PgGX0-kHA/edit?usp=sharing"",""แผน!GW73"")"),0)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IFERROR(__xludf.DUMMYFUNCTION("IMPORTRANGE(""https://docs.google.com/spreadsheets/d/1QqKyyYR6Q21VydFLVH3TRQUabQu_ym0Zz7PgGX0-kHA/edit?usp=sharing"",""แผน!GX73"")"),0)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IFERROR(__xludf.DUMMYFUNCTION("IMPORTRANGE(""https://docs.google.com/spreadsheets/d/1QqKyyYR6Q21VydFLVH3TRQUabQu_ym0Zz7PgGX0-kHA/edit?usp=sharing"",""แผน!GY73"")"),0)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IFERROR(__xludf.DUMMYFUNCTION("IMPORTRANGE(""https://docs.google.com/spreadsheets/d/1QqKyyYR6Q21VydFLVH3TRQUabQu_ym0Zz7PgGX0-kHA/edit?usp=sharing"",""แผน!GZ73"")"),0)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4">I559</f>
        <v>0</v>
      </c>
      <c r="J543" s="635">
        <f t="shared" si="234"/>
        <v>0</v>
      </c>
      <c r="K543" s="636">
        <f t="shared" ca="1" si="233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5">L545+L546</f>
        <v>85200</v>
      </c>
      <c r="M544" s="154">
        <f t="shared" ca="1" si="235"/>
        <v>85200</v>
      </c>
      <c r="N544" s="154">
        <f t="shared" si="235"/>
        <v>0</v>
      </c>
      <c r="O544" s="154">
        <f t="shared" ref="O544:O549" ca="1" si="236">IF(L544&gt;0,N544*100/L544,0)</f>
        <v>0</v>
      </c>
      <c r="P544" s="154">
        <f t="shared" ref="P544:P549" ca="1" si="237">IF(M544&gt;0,N544*100/M544,0)</f>
        <v>0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8"/>
        <v>85200</v>
      </c>
      <c r="M546" s="45">
        <f t="shared" ca="1" si="239"/>
        <v>85200</v>
      </c>
      <c r="N546" s="45">
        <f t="shared" si="239"/>
        <v>0</v>
      </c>
      <c r="O546" s="45">
        <f t="shared" ca="1" si="236"/>
        <v>0</v>
      </c>
      <c r="P546" s="45">
        <f t="shared" ca="1" si="237"/>
        <v>0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85200</v>
      </c>
      <c r="M547" s="38">
        <f t="shared" ca="1" si="240"/>
        <v>85200</v>
      </c>
      <c r="N547" s="38">
        <f t="shared" si="240"/>
        <v>0</v>
      </c>
      <c r="O547" s="38">
        <f t="shared" ca="1" si="236"/>
        <v>0</v>
      </c>
      <c r="P547" s="38">
        <f t="shared" ca="1" si="237"/>
        <v>0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IFERROR(__xludf.DUMMYFUNCTION("IMPORTRANGE(""https://docs.google.com/spreadsheets/d/1QqKyyYR6Q21VydFLVH3TRQUabQu_ym0Zz7PgGX0-kHA/edit?usp=sharing"",""แผน!HB73"")"),85200)</f>
        <v>85200</v>
      </c>
      <c r="M549" s="45">
        <f ca="1">L549</f>
        <v>85200</v>
      </c>
      <c r="N549" s="45">
        <f>N550+N551+N552+N553+N554</f>
        <v>0</v>
      </c>
      <c r="O549" s="45">
        <f t="shared" ca="1" si="236"/>
        <v>0</v>
      </c>
      <c r="P549" s="45">
        <f t="shared" ca="1" si="237"/>
        <v>0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IFERROR(__xludf.DUMMYFUNCTION("IMPORTRANGE(""https://docs.google.com/spreadsheets/d/1QqKyyYR6Q21VydFLVH3TRQUabQu_ym0Zz7PgGX0-kHA/edit?usp=sharing"",""แผน!HF73"")"),0)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4">I576</f>
        <v>0</v>
      </c>
      <c r="J559" s="627">
        <f t="shared" si="244"/>
        <v>0</v>
      </c>
      <c r="K559" s="628">
        <f t="shared" ref="K559:K561" ca="1" si="245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IFERROR(__xludf.DUMMYFUNCTION("IMPORTRANGE(""https://docs.google.com/spreadsheets/d/1QqKyyYR6Q21VydFLVH3TRQUabQu_ym0Zz7PgGX0-kHA/edit?usp=sharing"",""แผน!HH73"")"),0)</f>
        <v>0</v>
      </c>
      <c r="J560" s="189">
        <f t="shared" ref="J560:J561" si="246">J562+J564+J566</f>
        <v>0</v>
      </c>
      <c r="K560" s="390">
        <f t="shared" ca="1" si="245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IFERROR(__xludf.DUMMYFUNCTION("IMPORTRANGE(""https://docs.google.com/spreadsheets/d/1QqKyyYR6Q21VydFLVH3TRQUabQu_ym0Zz7PgGX0-kHA/edit?usp=sharing"",""แผน!HG73"")"),0)</f>
        <v>0</v>
      </c>
      <c r="J561" s="189">
        <f t="shared" si="246"/>
        <v>0</v>
      </c>
      <c r="K561" s="390">
        <f t="shared" ca="1" si="245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IFERROR(__xludf.DUMMYFUNCTION("IMPORTRANGE(""https://docs.google.com/spreadsheets/d/1QqKyyYR6Q21VydFLVH3TRQUabQu_ym0Zz7PgGX0-kHA/edit?usp=sharing"",""แผน!HH73"")"),0)</f>
        <v>0</v>
      </c>
      <c r="J568" s="190">
        <f t="shared" ref="J568:J569" si="247">J570+J572+J574</f>
        <v>0</v>
      </c>
      <c r="K568" s="390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IFERROR(__xludf.DUMMYFUNCTION("IMPORTRANGE(""https://docs.google.com/spreadsheets/d/1QqKyyYR6Q21VydFLVH3TRQUabQu_ym0Zz7PgGX0-kHA/edit?usp=sharing"",""แผน!HG73"")"),0)</f>
        <v>0</v>
      </c>
      <c r="J569" s="190">
        <f t="shared" si="247"/>
        <v>0</v>
      </c>
      <c r="K569" s="390">
        <f t="shared" ca="1" si="248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IFERROR(__xludf.DUMMYFUNCTION("IMPORTRANGE(""https://docs.google.com/spreadsheets/d/1QqKyyYR6Q21VydFLVH3TRQUabQu_ym0Zz7PgGX0-kHA/edit?usp=sharing"",""แผน!HH73"")"),0)</f>
        <v>0</v>
      </c>
      <c r="J576" s="190">
        <f t="shared" ref="J576:J577" si="249">J578+J580+J582+J588+J590</f>
        <v>0</v>
      </c>
      <c r="K576" s="390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IFERROR(__xludf.DUMMYFUNCTION("IMPORTRANGE(""https://docs.google.com/spreadsheets/d/1QqKyyYR6Q21VydFLVH3TRQUabQu_ym0Zz7PgGX0-kHA/edit?usp=sharing"",""แผน!HG73"")"),0)</f>
        <v>0</v>
      </c>
      <c r="J577" s="190">
        <f t="shared" si="249"/>
        <v>0</v>
      </c>
      <c r="K577" s="390">
        <f t="shared" ca="1" si="250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2">I593</f>
        <v>258.67</v>
      </c>
      <c r="J592" s="627">
        <f t="shared" si="252"/>
        <v>259</v>
      </c>
      <c r="K592" s="628">
        <f t="shared" ref="K592:K594" ca="1" si="253">IF(I592&gt;0,J592*100/I592,0)</f>
        <v>100.12757567557118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IFERROR(__xludf.DUMMYFUNCTION("IMPORTRANGE(""https://docs.google.com/spreadsheets/d/1QqKyyYR6Q21VydFLVH3TRQUabQu_ym0Zz7PgGX0-kHA/edit?usp=sharing"",""แผน!HJ73"")"),258.67)</f>
        <v>258.67</v>
      </c>
      <c r="J593" s="189">
        <f t="shared" ref="J593:J594" si="254">J595+J603+J609</f>
        <v>259</v>
      </c>
      <c r="K593" s="390">
        <f t="shared" ca="1" si="253"/>
        <v>100.12757567557118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IFERROR(__xludf.DUMMYFUNCTION("IMPORTRANGE(""https://docs.google.com/spreadsheets/d/1QqKyyYR6Q21VydFLVH3TRQUabQu_ym0Zz7PgGX0-kHA/edit?usp=sharing"",""แผน!HI73"")"),64)</f>
        <v>64</v>
      </c>
      <c r="J594" s="189">
        <f t="shared" si="254"/>
        <v>64</v>
      </c>
      <c r="K594" s="390">
        <f t="shared" ca="1" si="253"/>
        <v>100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5">J597+J599</f>
        <v>248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5"/>
        <v>62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248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62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6">J605+J607</f>
        <v>6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6"/>
        <v>1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6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5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1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7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8">J614+J616</f>
        <v>0</v>
      </c>
      <c r="K612" s="663">
        <f t="shared" si="257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8"/>
        <v>0</v>
      </c>
      <c r="K613" s="663">
        <f t="shared" si="257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IFERROR(__xludf.DUMMYFUNCTION("IMPORTRANGE(""https://docs.google.com/spreadsheets/d/1QqKyyYR6Q21VydFLVH3TRQUabQu_ym0Zz7PgGX0-kHA/edit?usp=sharing"",""แผน!HL73"")"),0)</f>
        <v>0</v>
      </c>
      <c r="J620" s="672">
        <f t="shared" ref="J620:J621" si="259">J622+J624+J626</f>
        <v>0</v>
      </c>
      <c r="K620" s="673">
        <f t="shared" ref="K620:K621" ca="1" si="260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IFERROR(__xludf.DUMMYFUNCTION("IMPORTRANGE(""https://docs.google.com/spreadsheets/d/1QqKyyYR6Q21VydFLVH3TRQUabQu_ym0Zz7PgGX0-kHA/edit?usp=sharing"",""แผน!HK73"")"),0)</f>
        <v>0</v>
      </c>
      <c r="J621" s="672">
        <f t="shared" si="259"/>
        <v>0</v>
      </c>
      <c r="K621" s="673">
        <f t="shared" ca="1" si="260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1">I651</f>
        <v>0</v>
      </c>
      <c r="J628" s="683">
        <f t="shared" ca="1" si="261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5"/>
        <v>0</v>
      </c>
      <c r="M631" s="45">
        <f t="shared" si="265"/>
        <v>0</v>
      </c>
      <c r="N631" s="45">
        <f t="shared" si="265"/>
        <v>0</v>
      </c>
      <c r="O631" s="45">
        <f t="shared" ca="1" si="263"/>
        <v>0</v>
      </c>
      <c r="P631" s="45">
        <f t="shared" si="264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0</v>
      </c>
      <c r="M632" s="38">
        <f t="shared" si="266"/>
        <v>0</v>
      </c>
      <c r="N632" s="38">
        <f t="shared" si="266"/>
        <v>0</v>
      </c>
      <c r="O632" s="38">
        <f t="shared" ca="1" si="263"/>
        <v>0</v>
      </c>
      <c r="P632" s="38">
        <f t="shared" si="264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IFERROR(__xludf.DUMMYFUNCTION("IMPORTRANGE(""https://docs.google.com/spreadsheets/d/1QqKyyYR6Q21VydFLVH3TRQUabQu_ym0Zz7PgGX0-kHA/edit?usp=sharing"",""แผน!HN73"")"),0)</f>
        <v>0</v>
      </c>
      <c r="M634" s="45">
        <v>0</v>
      </c>
      <c r="N634" s="45">
        <f>N635+N636+N637+N638</f>
        <v>0</v>
      </c>
      <c r="O634" s="45">
        <f t="shared" ca="1" si="263"/>
        <v>0</v>
      </c>
      <c r="P634" s="45">
        <f t="shared" si="264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IFERROR(__xludf.DUMMYFUNCTION("IMPORTRANGE(""https://docs.google.com/spreadsheets/d/1QqKyyYR6Q21VydFLVH3TRQUabQu_ym0Zz7PgGX0-kHA/edit?usp=sharing"",""แผน!HQ73"")"),0)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IFERROR(__xludf.DUMMYFUNCTION("IMPORTRANGE(""https://docs.google.com/spreadsheets/d/1QqKyyYR6Q21VydFLVH3TRQUabQu_ym0Zz7PgGX0-kHA/edit?usp=sharing"",""แผน!HR73"")"),0)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IFERROR(__xludf.DUMMYFUNCTION("IMPORTRANGE(""https://docs.google.com/spreadsheets/d/1QqKyyYR6Q21VydFLVH3TRQUabQu_ym0Zz7PgGX0-kHA/edit?usp=sharing"",""แผน!HR73"")"),0)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IFERROR(__xludf.DUMMYFUNCTION("IMPORTRANGE(""https://docs.google.com/spreadsheets/d/1XWAQStnk-4SwqDmLtmXYiTMKHgktTP8We1SCoS47DrQ/edit?usp=sharing"",""จัดที่ดิน!AS73"")"),0)</f>
        <v>0</v>
      </c>
      <c r="K645" s="162">
        <f t="shared" si="270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IFERROR(__xludf.DUMMYFUNCTION("IMPORTRANGE(""https://docs.google.com/spreadsheets/d/1XWAQStnk-4SwqDmLtmXYiTMKHgktTP8We1SCoS47DrQ/edit?usp=sharing"",""จัดที่ดิน!AT73"")"),0)</f>
        <v>0</v>
      </c>
      <c r="K646" s="38">
        <f t="shared" si="270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IFERROR(__xludf.DUMMYFUNCTION("IMPORTRANGE(""https://docs.google.com/spreadsheets/d/1QqKyyYR6Q21VydFLVH3TRQUabQu_ym0Zz7PgGX0-kHA/edit?usp=sharing"",""แผน!HS73"")"),0)</f>
        <v>0</v>
      </c>
      <c r="J647" s="37">
        <f ca="1">IFERROR(__xludf.DUMMYFUNCTION("IMPORTRANGE(""https://docs.google.com/spreadsheets/d/1XWAQStnk-4SwqDmLtmXYiTMKHgktTP8We1SCoS47DrQ/edit?usp=sharing"",""จัดที่ดิน!AU73"")"),0)</f>
        <v>0</v>
      </c>
      <c r="K647" s="162">
        <f t="shared" ca="1" si="270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IFERROR(__xludf.DUMMYFUNCTION("IMPORTRANGE(""https://docs.google.com/spreadsheets/d/1XWAQStnk-4SwqDmLtmXYiTMKHgktTP8We1SCoS47DrQ/edit?usp=sharing"",""จัดที่ดิน!AV73"")"),0)</f>
        <v>0</v>
      </c>
      <c r="K648" s="38">
        <f t="shared" si="270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IFERROR(__xludf.DUMMYFUNCTION("IMPORTRANGE(""https://docs.google.com/spreadsheets/d/1QqKyyYR6Q21VydFLVH3TRQUabQu_ym0Zz7PgGX0-kHA/edit?usp=sharing"",""แผน!HS73"")"),0)</f>
        <v>0</v>
      </c>
      <c r="J649" s="37">
        <f ca="1">IFERROR(__xludf.DUMMYFUNCTION("IMPORTRANGE(""https://docs.google.com/spreadsheets/d/1XWAQStnk-4SwqDmLtmXYiTMKHgktTP8We1SCoS47DrQ/edit?usp=sharing"",""จัดที่ดิน!AW73"")"),0)</f>
        <v>0</v>
      </c>
      <c r="K649" s="162">
        <f t="shared" ca="1" si="270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IFERROR(__xludf.DUMMYFUNCTION("IMPORTRANGE(""https://docs.google.com/spreadsheets/d/1XWAQStnk-4SwqDmLtmXYiTMKHgktTP8We1SCoS47DrQ/edit?usp=sharing"",""จัดที่ดิน!AX73"")"),0)</f>
        <v>0</v>
      </c>
      <c r="K650" s="38">
        <f t="shared" si="270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IFERROR(__xludf.DUMMYFUNCTION("IMPORTRANGE(""https://docs.google.com/spreadsheets/d/1QqKyyYR6Q21VydFLVH3TRQUabQu_ym0Zz7PgGX0-kHA/edit?usp=sharing"",""แผน!HS73"")"),0)</f>
        <v>0</v>
      </c>
      <c r="J651" s="37">
        <f ca="1">IFERROR(__xludf.DUMMYFUNCTION("IMPORTRANGE(""https://docs.google.com/spreadsheets/d/1XWAQStnk-4SwqDmLtmXYiTMKHgktTP8We1SCoS47DrQ/edit?usp=sharing"",""จัดที่ดิน!AY73"")"),0)</f>
        <v>0</v>
      </c>
      <c r="K651" s="162">
        <f t="shared" ca="1" si="270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IFERROR(__xludf.DUMMYFUNCTION("IMPORTRANGE(""https://docs.google.com/spreadsheets/d/1XWAQStnk-4SwqDmLtmXYiTMKHgktTP8We1SCoS47DrQ/edit?usp=sharing"",""จัดที่ดิน!AZ73"")"),0)</f>
        <v>0</v>
      </c>
      <c r="K652" s="472">
        <f t="shared" si="270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1">I669</f>
        <v>100</v>
      </c>
      <c r="J654" s="627">
        <f t="shared" si="271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2">L656+L657</f>
        <v>12400</v>
      </c>
      <c r="M655" s="191">
        <f t="shared" ca="1" si="272"/>
        <v>12400</v>
      </c>
      <c r="N655" s="191">
        <f t="shared" si="272"/>
        <v>9282</v>
      </c>
      <c r="O655" s="191">
        <f t="shared" ref="O655:O660" ca="1" si="273">IF(L655&gt;0,N655*100/L655,0)</f>
        <v>74.854838709677423</v>
      </c>
      <c r="P655" s="191">
        <f t="shared" ref="P655:P660" ca="1" si="274">IF(M655&gt;0,N655*100/M655,0)</f>
        <v>74.854838709677423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5"/>
        <v>12400</v>
      </c>
      <c r="M657" s="45">
        <f t="shared" ca="1" si="275"/>
        <v>12400</v>
      </c>
      <c r="N657" s="45">
        <f t="shared" si="275"/>
        <v>9282</v>
      </c>
      <c r="O657" s="45">
        <f t="shared" ca="1" si="273"/>
        <v>74.854838709677423</v>
      </c>
      <c r="P657" s="45">
        <f t="shared" ca="1" si="274"/>
        <v>74.854838709677423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12400</v>
      </c>
      <c r="M658" s="38">
        <f t="shared" ca="1" si="276"/>
        <v>12400</v>
      </c>
      <c r="N658" s="38">
        <f t="shared" si="276"/>
        <v>9282</v>
      </c>
      <c r="O658" s="38">
        <f t="shared" ca="1" si="273"/>
        <v>74.854838709677423</v>
      </c>
      <c r="P658" s="38">
        <f t="shared" ca="1" si="274"/>
        <v>74.854838709677423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IFERROR(__xludf.DUMMYFUNCTION("IMPORTRANGE(""https://docs.google.com/spreadsheets/d/1QqKyyYR6Q21VydFLVH3TRQUabQu_ym0Zz7PgGX0-kHA/edit?usp=sharing"",""แผน!HV73"")"),12400)</f>
        <v>12400</v>
      </c>
      <c r="M660" s="45">
        <f ca="1">L660</f>
        <v>12400</v>
      </c>
      <c r="N660" s="45">
        <f>N661+N662+N663+N664</f>
        <v>9282</v>
      </c>
      <c r="O660" s="45">
        <f t="shared" ca="1" si="273"/>
        <v>74.854838709677423</v>
      </c>
      <c r="P660" s="45">
        <f t="shared" ca="1" si="274"/>
        <v>74.854838709677423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f>2097+7185</f>
        <v>9282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IFERROR(__xludf.DUMMYFUNCTION("IMPORTRANGE(""https://docs.google.com/spreadsheets/d/1QqKyyYR6Q21VydFLVH3TRQUabQu_ym0Zz7PgGX0-kHA/edit?usp=sharing"",""แผน!IA73"")"),100)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IFERROR(__xludf.DUMMYFUNCTION("IMPORTRANGE(""https://docs.google.com/spreadsheets/d/1QqKyyYR6Q21VydFLVH3TRQUabQu_ym0Zz7PgGX0-kHA/edit?usp=sharing"",""แผน!HZ73"")"),4)</f>
        <v>4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IFERROR(__xludf.DUMMYFUNCTION("IMPORTRANGE(""https://docs.google.com/spreadsheets/d/1QqKyyYR6Q21VydFLVH3TRQUabQu_ym0Zz7PgGX0-kHA/edit?usp=sharing"",""แผน!HZ73"")"),4)</f>
        <v>4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836">
        <v>80</v>
      </c>
      <c r="K672" s="38">
        <f t="shared" ref="K672:K675" ca="1" si="280">IF(I$669&gt;0,J672*100/I$669,0)</f>
        <v>80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836">
        <v>80</v>
      </c>
      <c r="K673" s="38">
        <f t="shared" ca="1" si="280"/>
        <v>80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68</v>
      </c>
      <c r="K674" s="38">
        <f t="shared" ca="1" si="280"/>
        <v>68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1">L686+L687</f>
        <v>13060</v>
      </c>
      <c r="M685" s="191">
        <f t="shared" ca="1" si="281"/>
        <v>13060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ca="1" si="283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4"/>
        <v>13060</v>
      </c>
      <c r="M687" s="45">
        <f t="shared" ca="1" si="284"/>
        <v>13060</v>
      </c>
      <c r="N687" s="45">
        <f t="shared" si="284"/>
        <v>0</v>
      </c>
      <c r="O687" s="45">
        <f t="shared" ca="1" si="282"/>
        <v>0</v>
      </c>
      <c r="P687" s="45">
        <f t="shared" ca="1" si="283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13060</v>
      </c>
      <c r="M688" s="38">
        <f t="shared" ca="1" si="285"/>
        <v>13060</v>
      </c>
      <c r="N688" s="38">
        <f t="shared" si="285"/>
        <v>0</v>
      </c>
      <c r="O688" s="38">
        <f t="shared" ca="1" si="282"/>
        <v>0</v>
      </c>
      <c r="P688" s="38">
        <f t="shared" ca="1" si="283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IFERROR(__xludf.DUMMYFUNCTION("IMPORTRANGE(""https://docs.google.com/spreadsheets/d/1QqKyyYR6Q21VydFLVH3TRQUabQu_ym0Zz7PgGX0-kHA/edit?usp=sharing"",""แผน!HW73"")"),13060)</f>
        <v>13060</v>
      </c>
      <c r="M690" s="45">
        <f ca="1">L690</f>
        <v>13060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IFERROR(__xludf.DUMMYFUNCTION("IMPORTRANGE(""https://docs.google.com/spreadsheets/d/1QqKyyYR6Q21VydFLVH3TRQUabQu_ym0Zz7PgGX0-kHA/edit?usp=sharing"",""แผน!IC73"")"),80)</f>
        <v>80</v>
      </c>
      <c r="J699" s="37">
        <f ca="1">IFERROR(__xludf.DUMMYFUNCTION("IMPORTRANGE(""https://docs.google.com/spreadsheets/d/1XWAQStnk-4SwqDmLtmXYiTMKHgktTP8We1SCoS47DrQ/edit?usp=sharing"",""จัดที่ดิน!BB73"")"),0)</f>
        <v>0</v>
      </c>
      <c r="K699" s="38">
        <f t="shared" ref="K699:K701" ca="1" si="289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IFERROR(__xludf.DUMMYFUNCTION("IMPORTRANGE(""https://docs.google.com/spreadsheets/d/1QqKyyYR6Q21VydFLVH3TRQUabQu_ym0Zz7PgGX0-kHA/edit?usp=sharing"",""แผน!ID73"")"),16)</f>
        <v>16</v>
      </c>
      <c r="J700" s="37">
        <f ca="1">IFERROR(__xludf.DUMMYFUNCTION("IMPORTRANGE(""https://docs.google.com/spreadsheets/d/1XWAQStnk-4SwqDmLtmXYiTMKHgktTP8We1SCoS47DrQ/edit?usp=sharing"",""จัดที่ดิน!BD73"")"),0)</f>
        <v>0</v>
      </c>
      <c r="K700" s="38">
        <f t="shared" ca="1" si="289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IFERROR(__xludf.DUMMYFUNCTION("IMPORTRANGE(""https://docs.google.com/spreadsheets/d/1QqKyyYR6Q21VydFLVH3TRQUabQu_ym0Zz7PgGX0-kHA/edit?usp=sharing"",""แผน!IE73"")"),15)</f>
        <v>15</v>
      </c>
      <c r="J701" s="190">
        <f>J704+J707</f>
        <v>0</v>
      </c>
      <c r="K701" s="191">
        <f t="shared" ca="1" si="289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IFERROR(__xludf.DUMMYFUNCTION("IMPORTRANGE(""https://docs.google.com/spreadsheets/d/1QqKyyYR6Q21VydFLVH3TRQUabQu_ym0Zz7PgGX0-kHA/edit?usp=sharing"",""แผน!IF73"")"),15)</f>
        <v>15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IFERROR(__xludf.DUMMYFUNCTION("IMPORTRANGE(""https://docs.google.com/spreadsheets/d/1QqKyyYR6Q21VydFLVH3TRQUabQu_ym0Zz7PgGX0-kHA/edit?usp=sharing"",""แผน!IG73"")"),0)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IFERROR(__xludf.DUMMYFUNCTION("IMPORTRANGE(""https://docs.google.com/spreadsheets/d/1QqKyyYR6Q21VydFLVH3TRQUabQu_ym0Zz7PgGX0-kHA/edit?usp=sharing"",""แผน!IH73"")"),80)</f>
        <v>80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IFERROR(__xludf.DUMMYFUNCTION("IMPORTRANGE(""https://docs.google.com/spreadsheets/d/1XWAQStnk-4SwqDmLtmXYiTMKHgktTP8We1SCoS47DrQ/edit?usp=sharing"",""จัดที่ดิน!BF73"")"),0)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IFERROR(__xludf.DUMMYFUNCTION("IMPORTRANGE(""https://docs.google.com/spreadsheets/d/1XWAQStnk-4SwqDmLtmXYiTMKHgktTP8We1SCoS47DrQ/edit?usp=sharing"",""จัดที่ดิน!BG73"")"),0)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IFERROR(__xludf.DUMMYFUNCTION("IMPORTRANGE(""https://docs.google.com/spreadsheets/d/1QqKyyYR6Q21VydFLVH3TRQUabQu_ym0Zz7PgGX0-kHA/edit?usp=sharing"",""แผน!II73"")"),0)</f>
        <v>0</v>
      </c>
      <c r="J720" s="37">
        <f ca="1">IFERROR(__xludf.DUMMYFUNCTION("IMPORTRANGE(""https://docs.google.com/spreadsheets/d/1XWAQStnk-4SwqDmLtmXYiTMKHgktTP8We1SCoS47DrQ/edit?usp=sharing"",""จัดที่ดิน!BH73"")"),0)</f>
        <v>0</v>
      </c>
      <c r="K720" s="38">
        <f t="shared" ref="K720:K723" ca="1" si="290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IFERROR(__xludf.DUMMYFUNCTION("IMPORTRANGE(""https://docs.google.com/spreadsheets/d/1QqKyyYR6Q21VydFLVH3TRQUabQu_ym0Zz7PgGX0-kHA/edit?usp=sharing"",""แผน!IJ73"")"),2)</f>
        <v>2</v>
      </c>
      <c r="J721" s="190">
        <f ca="1">J723+J726</f>
        <v>0</v>
      </c>
      <c r="K721" s="191">
        <f t="shared" ca="1" si="290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IFERROR(__xludf.DUMMYFUNCTION("IMPORTRANGE(""https://docs.google.com/spreadsheets/d/1QqKyyYR6Q21VydFLVH3TRQUabQu_ym0Zz7PgGX0-kHA/edit?usp=sharing"",""แผน!IK73"")"),10)</f>
        <v>10</v>
      </c>
      <c r="J722" s="190">
        <f ca="1">J725+J728</f>
        <v>0</v>
      </c>
      <c r="K722" s="191">
        <f t="shared" ca="1" si="290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IFERROR(__xludf.DUMMYFUNCTION("IMPORTRANGE(""https://docs.google.com/spreadsheets/d/1QqKyyYR6Q21VydFLVH3TRQUabQu_ym0Zz7PgGX0-kHA/edit?usp=sharing"",""แผน!IL73"")"),2)</f>
        <v>2</v>
      </c>
      <c r="J723" s="37">
        <f ca="1">IFERROR(__xludf.DUMMYFUNCTION("IMPORTRANGE(""https://docs.google.com/spreadsheets/d/1XWAQStnk-4SwqDmLtmXYiTMKHgktTP8We1SCoS47DrQ/edit?usp=sharing"",""จัดที่ดิน!BM73"")"),0)</f>
        <v>0</v>
      </c>
      <c r="K723" s="38">
        <f t="shared" ca="1" si="290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IFERROR(__xludf.DUMMYFUNCTION("IMPORTRANGE(""https://docs.google.com/spreadsheets/d/1XWAQStnk-4SwqDmLtmXYiTMKHgktTP8We1SCoS47DrQ/edit?usp=sharing"",""จัดที่ดิน!BN73"")"),0)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IFERROR(__xludf.DUMMYFUNCTION("IMPORTRANGE(""https://docs.google.com/spreadsheets/d/1QqKyyYR6Q21VydFLVH3TRQUabQu_ym0Zz7PgGX0-kHA/edit?usp=sharing"",""แผน!IM73"")"),10)</f>
        <v>10</v>
      </c>
      <c r="J725" s="37">
        <f ca="1">IFERROR(__xludf.DUMMYFUNCTION("IMPORTRANGE(""https://docs.google.com/spreadsheets/d/1XWAQStnk-4SwqDmLtmXYiTMKHgktTP8We1SCoS47DrQ/edit?usp=sharing"",""จัดที่ดิน!BO73"")"),0)</f>
        <v>0</v>
      </c>
      <c r="K725" s="38">
        <f t="shared" ref="K725:K726" ca="1" si="291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IFERROR(__xludf.DUMMYFUNCTION("IMPORTRANGE(""https://docs.google.com/spreadsheets/d/1QqKyyYR6Q21VydFLVH3TRQUabQu_ym0Zz7PgGX0-kHA/edit?usp=sharing"",""แผน!IN73"")"),0)</f>
        <v>0</v>
      </c>
      <c r="J726" s="37">
        <f ca="1">IFERROR(__xludf.DUMMYFUNCTION("IMPORTRANGE(""https://docs.google.com/spreadsheets/d/1XWAQStnk-4SwqDmLtmXYiTMKHgktTP8We1SCoS47DrQ/edit?usp=sharing"",""จัดที่ดิน!BR73"")"),0)</f>
        <v>0</v>
      </c>
      <c r="K726" s="38">
        <f t="shared" ca="1" si="291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IFERROR(__xludf.DUMMYFUNCTION("IMPORTRANGE(""https://docs.google.com/spreadsheets/d/1XWAQStnk-4SwqDmLtmXYiTMKHgktTP8We1SCoS47DrQ/edit?usp=sharing"",""จัดที่ดิน!BS73"")"),0)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IFERROR(__xludf.DUMMYFUNCTION("IMPORTRANGE(""https://docs.google.com/spreadsheets/d/1QqKyyYR6Q21VydFLVH3TRQUabQu_ym0Zz7PgGX0-kHA/edit?usp=sharing"",""แผน!IO73"")"),0)</f>
        <v>0</v>
      </c>
      <c r="J728" s="37">
        <f ca="1">IFERROR(__xludf.DUMMYFUNCTION("IMPORTRANGE(""https://docs.google.com/spreadsheets/d/1XWAQStnk-4SwqDmLtmXYiTMKHgktTP8We1SCoS47DrQ/edit?usp=sharing"",""จัดที่ดิน!BT73"")"),0)</f>
        <v>0</v>
      </c>
      <c r="K728" s="38">
        <f t="shared" ref="K728:K729" ca="1" si="292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IFERROR(__xludf.DUMMYFUNCTION("IMPORTRANGE(""https://docs.google.com/spreadsheets/d/1QqKyyYR6Q21VydFLVH3TRQUabQu_ym0Zz7PgGX0-kHA/edit?usp=sharing"",""แผน!IP73"")"),0)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3">L738+L739</f>
        <v>0</v>
      </c>
      <c r="M737" s="598">
        <f t="shared" si="293"/>
        <v>0</v>
      </c>
      <c r="N737" s="598">
        <f t="shared" si="293"/>
        <v>0</v>
      </c>
      <c r="O737" s="598">
        <f t="shared" ref="O737:O742" si="294">IF(L737&gt;0,N737*100/L737,0)</f>
        <v>0</v>
      </c>
      <c r="P737" s="598">
        <f t="shared" ref="P737:P742" si="295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7">L741+L742</f>
        <v>0</v>
      </c>
      <c r="M740" s="598">
        <f t="shared" si="297"/>
        <v>0</v>
      </c>
      <c r="N740" s="598">
        <f t="shared" si="297"/>
        <v>0</v>
      </c>
      <c r="O740" s="598">
        <f t="shared" si="294"/>
        <v>0</v>
      </c>
      <c r="P740" s="598">
        <f t="shared" si="295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8">L748+L749</f>
        <v>0</v>
      </c>
      <c r="M747" s="598">
        <f t="shared" si="298"/>
        <v>0</v>
      </c>
      <c r="N747" s="598">
        <f t="shared" si="298"/>
        <v>0</v>
      </c>
      <c r="O747" s="598">
        <f t="shared" ref="O747:O749" si="299">IF(L747&gt;0,N747*100/L747,0)</f>
        <v>0</v>
      </c>
      <c r="P747" s="598">
        <f t="shared" ref="P747:P749" si="300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1">L755+L756</f>
        <v>0</v>
      </c>
      <c r="M754" s="598">
        <f t="shared" si="301"/>
        <v>0</v>
      </c>
      <c r="N754" s="598">
        <f t="shared" si="301"/>
        <v>0</v>
      </c>
      <c r="O754" s="598">
        <f t="shared" ref="O754:O759" si="302">IF(L754&gt;0,N754*100/L754,0)</f>
        <v>0</v>
      </c>
      <c r="P754" s="598">
        <f t="shared" ref="P754:P759" si="303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5">L758+L759</f>
        <v>0</v>
      </c>
      <c r="M757" s="598">
        <f t="shared" si="305"/>
        <v>0</v>
      </c>
      <c r="N757" s="598">
        <f t="shared" si="305"/>
        <v>0</v>
      </c>
      <c r="O757" s="598">
        <f t="shared" si="302"/>
        <v>0</v>
      </c>
      <c r="P757" s="598">
        <f t="shared" si="303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6">L765+L766</f>
        <v>0</v>
      </c>
      <c r="M764" s="598">
        <f t="shared" si="306"/>
        <v>0</v>
      </c>
      <c r="N764" s="598">
        <f t="shared" si="306"/>
        <v>0</v>
      </c>
      <c r="O764" s="598">
        <f t="shared" ref="O764:O766" si="307">IF(L764&gt;0,N764*100/L764,0)</f>
        <v>0</v>
      </c>
      <c r="P764" s="598">
        <f t="shared" ref="P764:P766" si="308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09">L771+L772</f>
        <v>0</v>
      </c>
      <c r="M770" s="598">
        <f t="shared" si="309"/>
        <v>0</v>
      </c>
      <c r="N770" s="598">
        <f t="shared" si="309"/>
        <v>0</v>
      </c>
      <c r="O770" s="598">
        <f t="shared" ref="O770:O775" si="310">IF(L770&gt;0,N770*100/L770,0)</f>
        <v>0</v>
      </c>
      <c r="P770" s="598">
        <f t="shared" ref="P770:P775" si="311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3">L774+L775</f>
        <v>0</v>
      </c>
      <c r="M773" s="598">
        <f t="shared" si="313"/>
        <v>0</v>
      </c>
      <c r="N773" s="598">
        <f t="shared" si="313"/>
        <v>0</v>
      </c>
      <c r="O773" s="598">
        <f t="shared" si="310"/>
        <v>0</v>
      </c>
      <c r="P773" s="598">
        <f t="shared" si="311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4">L781+L782</f>
        <v>0</v>
      </c>
      <c r="M780" s="598">
        <f t="shared" si="314"/>
        <v>0</v>
      </c>
      <c r="N780" s="598">
        <f t="shared" si="314"/>
        <v>0</v>
      </c>
      <c r="O780" s="598">
        <f t="shared" ref="O780:O782" si="315">IF(L780&gt;0,N780*100/L780,0)</f>
        <v>0</v>
      </c>
      <c r="P780" s="598">
        <f t="shared" ref="P780:P782" si="316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7">I800</f>
        <v>0</v>
      </c>
      <c r="J785" s="825">
        <f t="shared" ca="1" si="317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IFERROR(__xludf.DUMMYFUNCTION("IMPORTRANGE(""https://docs.google.com/spreadsheets/d/1QqKyyYR6Q21VydFLVH3TRQUabQu_ym0Zz7PgGX0-kHA/edit?usp=sharing"",""แผน!JJ73"")"),0)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IFERROR(__xludf.DUMMYFUNCTION("IMPORTRANGE(""https://docs.google.com/spreadsheets/d/1QqKyyYR6Q21VydFLVH3TRQUabQu_ym0Zz7PgGX0-kHA/edit?usp=sharing"",""แผน!JN73"")"),0)</f>
        <v>0</v>
      </c>
      <c r="J800" s="161">
        <f ca="1">IFERROR(__xludf.DUMMYFUNCTION("IMPORTRANGE(""https://docs.google.com/spreadsheets/d/1MaWodYyGHDf7siQLGxnXhG4mBNTNIuy296niS2xXulU/edit?usp=sharing"",""RTK!H73"")"),0)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IFERROR(__xludf.DUMMYFUNCTION("IMPORTRANGE(""https://docs.google.com/spreadsheets/d/1MaWodYyGHDf7siQLGxnXhG4mBNTNIuy296niS2xXulU/edit?usp=sharing"",""RTK!I73"")"),0)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6">L806+L807</f>
        <v>0</v>
      </c>
      <c r="M805" s="598">
        <f t="shared" si="326"/>
        <v>0</v>
      </c>
      <c r="N805" s="598">
        <f t="shared" si="326"/>
        <v>0</v>
      </c>
      <c r="O805" s="598">
        <f t="shared" ref="O805:O810" si="327">IF(L805&gt;0,N805*100/L805,0)</f>
        <v>0</v>
      </c>
      <c r="P805" s="598">
        <f t="shared" ref="P805:P810" si="328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0">L809+L810</f>
        <v>0</v>
      </c>
      <c r="M808" s="598">
        <f t="shared" si="330"/>
        <v>0</v>
      </c>
      <c r="N808" s="598">
        <f t="shared" si="330"/>
        <v>0</v>
      </c>
      <c r="O808" s="598">
        <f t="shared" si="327"/>
        <v>0</v>
      </c>
      <c r="P808" s="598">
        <f t="shared" si="328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1">L816+L817</f>
        <v>0</v>
      </c>
      <c r="M815" s="598">
        <f t="shared" si="331"/>
        <v>0</v>
      </c>
      <c r="N815" s="598">
        <f t="shared" si="331"/>
        <v>0</v>
      </c>
      <c r="O815" s="598">
        <f t="shared" ref="O815:O817" si="332">IF(L815&gt;0,N815*100/L815,0)</f>
        <v>0</v>
      </c>
      <c r="P815" s="598">
        <f t="shared" ref="P815:P817" si="333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IFERROR(__xludf.DUMMYFUNCTION("IMPORTRANGE(""https://docs.google.com/spreadsheets/d/19vJNZY_5yjcGF2XGBMNZRCAIB0Kwfpjp8YEOfu-bneM/edit?usp=sharing"",""งานกองทุน!D73"")"),0)</f>
        <v>0</v>
      </c>
      <c r="J821" s="37">
        <f ca="1">IFERROR(__xludf.DUMMYFUNCTION("IMPORTRANGE(""https://docs.google.com/spreadsheets/d/19vJNZY_5yjcGF2XGBMNZRCAIB0Kwfpjp8YEOfu-bneM/edit?usp=sharing"",""งานกองทุน!F73"")"),0)</f>
        <v>0</v>
      </c>
      <c r="K821" s="38">
        <f t="shared" ref="K821:K828" ca="1" si="334">IF(I821&gt;0,J821*100/I821,0)</f>
        <v>0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IFERROR(__xludf.DUMMYFUNCTION("IMPORTRANGE(""https://docs.google.com/spreadsheets/d/19vJNZY_5yjcGF2XGBMNZRCAIB0Kwfpjp8YEOfu-bneM/edit?usp=sharing"",""งานกองทุน!C73"")"),0)</f>
        <v>0</v>
      </c>
      <c r="J822" s="37">
        <f ca="1">IFERROR(__xludf.DUMMYFUNCTION("IMPORTRANGE(""https://docs.google.com/spreadsheets/d/19vJNZY_5yjcGF2XGBMNZRCAIB0Kwfpjp8YEOfu-bneM/edit?usp=sharing"",""งานกองทุน!E73"")"),0)</f>
        <v>0</v>
      </c>
      <c r="K822" s="38">
        <f t="shared" ca="1" si="334"/>
        <v>0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IFERROR(__xludf.DUMMYFUNCTION("IMPORTRANGE(""https://docs.google.com/spreadsheets/d/19vJNZY_5yjcGF2XGBMNZRCAIB0Kwfpjp8YEOfu-bneM/edit?usp=sharing"",""งานกองทุน!I73"")"),29317.68)</f>
        <v>29317.68</v>
      </c>
      <c r="J823" s="37">
        <f ca="1">IFERROR(__xludf.DUMMYFUNCTION("IMPORTRANGE(""https://docs.google.com/spreadsheets/d/19vJNZY_5yjcGF2XGBMNZRCAIB0Kwfpjp8YEOfu-bneM/edit?usp=sharing"",""งานกองทุน!K73"")"),29317.68)</f>
        <v>29317.68</v>
      </c>
      <c r="K823" s="38">
        <f t="shared" ca="1" si="334"/>
        <v>100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IFERROR(__xludf.DUMMYFUNCTION("IMPORTRANGE(""https://docs.google.com/spreadsheets/d/19vJNZY_5yjcGF2XGBMNZRCAIB0Kwfpjp8YEOfu-bneM/edit?usp=sharing"",""งานกองทุน!H73"")"),3)</f>
        <v>3</v>
      </c>
      <c r="J824" s="37">
        <f ca="1">IFERROR(__xludf.DUMMYFUNCTION("IMPORTRANGE(""https://docs.google.com/spreadsheets/d/19vJNZY_5yjcGF2XGBMNZRCAIB0Kwfpjp8YEOfu-bneM/edit?usp=sharing"",""งานกองทุน!J73"")"),3)</f>
        <v>3</v>
      </c>
      <c r="K824" s="38">
        <f t="shared" ca="1" si="334"/>
        <v>100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IFERROR(__xludf.DUMMYFUNCTION("IMPORTRANGE(""https://docs.google.com/spreadsheets/d/19vJNZY_5yjcGF2XGBMNZRCAIB0Kwfpjp8YEOfu-bneM/edit?usp=sharing"",""งานกองทุน!N73"")"),37951.31)</f>
        <v>37951.31</v>
      </c>
      <c r="J825" s="37">
        <f ca="1">IFERROR(__xludf.DUMMYFUNCTION("IMPORTRANGE(""https://docs.google.com/spreadsheets/d/19vJNZY_5yjcGF2XGBMNZRCAIB0Kwfpjp8YEOfu-bneM/edit?usp=sharing"",""งานกองทุน!P73"")"),37951.31)</f>
        <v>37951.31</v>
      </c>
      <c r="K825" s="38">
        <f t="shared" ca="1" si="334"/>
        <v>100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IFERROR(__xludf.DUMMYFUNCTION("IMPORTRANGE(""https://docs.google.com/spreadsheets/d/19vJNZY_5yjcGF2XGBMNZRCAIB0Kwfpjp8YEOfu-bneM/edit?usp=sharing"",""งานกองทุน!M73"")"),51)</f>
        <v>51</v>
      </c>
      <c r="J826" s="37">
        <f ca="1">IFERROR(__xludf.DUMMYFUNCTION("IMPORTRANGE(""https://docs.google.com/spreadsheets/d/19vJNZY_5yjcGF2XGBMNZRCAIB0Kwfpjp8YEOfu-bneM/edit?usp=sharing"",""งานกองทุน!O73"")"),51)</f>
        <v>51</v>
      </c>
      <c r="K826" s="38">
        <f t="shared" ca="1" si="334"/>
        <v>100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IFERROR(__xludf.DUMMYFUNCTION("IMPORTRANGE(""https://docs.google.com/spreadsheets/d/19vJNZY_5yjcGF2XGBMNZRCAIB0Kwfpjp8YEOfu-bneM/edit?usp=sharing"",""งานกองทุน!S73"")"),680000)</f>
        <v>680000</v>
      </c>
      <c r="J827" s="37">
        <f ca="1">IFERROR(__xludf.DUMMYFUNCTION("IMPORTRANGE(""https://docs.google.com/spreadsheets/d/19vJNZY_5yjcGF2XGBMNZRCAIB0Kwfpjp8YEOfu-bneM/edit?usp=sharing"",""งานกองทุน!U73"")"),180000)</f>
        <v>180000</v>
      </c>
      <c r="K827" s="38">
        <f t="shared" ca="1" si="334"/>
        <v>26.470588235294116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IFERROR(__xludf.DUMMYFUNCTION("IMPORTRANGE(""https://docs.google.com/spreadsheets/d/19vJNZY_5yjcGF2XGBMNZRCAIB0Kwfpjp8YEOfu-bneM/edit?usp=sharing"",""งานกองทุน!R73"")"),27)</f>
        <v>27</v>
      </c>
      <c r="J828" s="365">
        <f ca="1">IFERROR(__xludf.DUMMYFUNCTION("IMPORTRANGE(""https://docs.google.com/spreadsheets/d/19vJNZY_5yjcGF2XGBMNZRCAIB0Kwfpjp8YEOfu-bneM/edit?usp=sharing"",""งานกองทุน!T73"")"),6)</f>
        <v>6</v>
      </c>
      <c r="K828" s="472">
        <f t="shared" ca="1" si="334"/>
        <v>22.222222222222221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0C257-F028-4BE6-8B15-568ECAF26A45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333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4203041</v>
      </c>
      <c r="N8" s="22">
        <f t="shared" ca="1" si="0"/>
        <v>3495556.74</v>
      </c>
      <c r="O8" s="22">
        <f t="shared" ref="O8:O16" ca="1" si="1">IF(L8&gt;0,N8*100/L8,0)</f>
        <v>101.48023569857361</v>
      </c>
      <c r="P8" s="22">
        <f t="shared" ref="P8:P16" ca="1" si="2">IF(M8&gt;0,N8*100/M8,0)</f>
        <v>83.167324325411059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4203041</v>
      </c>
      <c r="N10" s="30">
        <f t="shared" ca="1" si="3"/>
        <v>3495556.74</v>
      </c>
      <c r="O10" s="30">
        <f t="shared" ca="1" si="1"/>
        <v>101.48023569857361</v>
      </c>
      <c r="P10" s="30">
        <f t="shared" ca="1" si="2"/>
        <v>83.167324325411059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3280369</v>
      </c>
      <c r="M11" s="38">
        <f t="shared" ca="1" si="4"/>
        <v>3453641</v>
      </c>
      <c r="N11" s="38">
        <f t="shared" ca="1" si="4"/>
        <v>2746156.74</v>
      </c>
      <c r="O11" s="38">
        <f t="shared" ca="1" si="1"/>
        <v>83.714872930453865</v>
      </c>
      <c r="P11" s="38">
        <f t="shared" ca="1" si="2"/>
        <v>79.514829132501035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3280369</v>
      </c>
      <c r="M13" s="45">
        <f t="shared" ca="1" si="5"/>
        <v>3453641</v>
      </c>
      <c r="N13" s="45">
        <f t="shared" ca="1" si="5"/>
        <v>2746156.74</v>
      </c>
      <c r="O13" s="45">
        <f t="shared" ca="1" si="1"/>
        <v>83.714872930453865</v>
      </c>
      <c r="P13" s="45">
        <f t="shared" ca="1" si="2"/>
        <v>79.514829132501035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164200</v>
      </c>
      <c r="M14" s="38">
        <f t="shared" ca="1" si="6"/>
        <v>749400</v>
      </c>
      <c r="N14" s="38">
        <f t="shared" ca="1" si="6"/>
        <v>749400</v>
      </c>
      <c r="O14" s="38">
        <f t="shared" ca="1" si="1"/>
        <v>456.39464068209503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3393208</v>
      </c>
      <c r="N18" s="22">
        <f t="shared" ca="1" si="8"/>
        <v>2873450.74</v>
      </c>
      <c r="O18" s="22">
        <f t="shared" ref="O18:O26" ca="1" si="9">IF(L18&gt;0,N18*100/L18,0)</f>
        <v>109.06029067048843</v>
      </c>
      <c r="P18" s="22">
        <f t="shared" ref="P18:P26" ca="1" si="10">IF(M18&gt;0,N18*100/M18,0)</f>
        <v>84.682422651367091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3393208</v>
      </c>
      <c r="N20" s="30">
        <f t="shared" ca="1" si="11"/>
        <v>2873450.74</v>
      </c>
      <c r="O20" s="30">
        <f t="shared" ca="1" si="9"/>
        <v>109.06029067048843</v>
      </c>
      <c r="P20" s="30">
        <f t="shared" ca="1" si="10"/>
        <v>84.682422651367091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2470536</v>
      </c>
      <c r="M21" s="38">
        <f t="shared" ca="1" si="12"/>
        <v>2643808</v>
      </c>
      <c r="N21" s="38">
        <f t="shared" ca="1" si="12"/>
        <v>2124050.7400000002</v>
      </c>
      <c r="O21" s="38">
        <f t="shared" ca="1" si="9"/>
        <v>85.975300096821101</v>
      </c>
      <c r="P21" s="38">
        <f t="shared" ca="1" si="10"/>
        <v>80.340582220796676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2470536</v>
      </c>
      <c r="M23" s="45">
        <f t="shared" ca="1" si="13"/>
        <v>2643808</v>
      </c>
      <c r="N23" s="45">
        <f t="shared" ca="1" si="13"/>
        <v>2124050.7400000002</v>
      </c>
      <c r="O23" s="45">
        <f t="shared" ca="1" si="9"/>
        <v>85.975300096821101</v>
      </c>
      <c r="P23" s="45">
        <f t="shared" ca="1" si="10"/>
        <v>80.340582220796676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164200</v>
      </c>
      <c r="M24" s="38">
        <f t="shared" ca="1" si="14"/>
        <v>749400</v>
      </c>
      <c r="N24" s="38">
        <f t="shared" ca="1" si="14"/>
        <v>749400</v>
      </c>
      <c r="O24" s="38">
        <f t="shared" ca="1" si="9"/>
        <v>456.39464068209503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622106</v>
      </c>
      <c r="O28" s="22">
        <f t="shared" ref="O28:O37" ca="1" si="17">IF(L28&gt;0,N28*100/L28,0)</f>
        <v>76.819047877772334</v>
      </c>
      <c r="P28" s="22">
        <f t="shared" ref="P28:P37" ca="1" si="18">IF(M28&gt;0,N28*100/M28,0)</f>
        <v>76.819047877772334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622106</v>
      </c>
      <c r="O30" s="30">
        <f t="shared" ca="1" si="17"/>
        <v>76.819047877772334</v>
      </c>
      <c r="P30" s="30">
        <f t="shared" ca="1" si="18"/>
        <v>76.819047877772334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809833</v>
      </c>
      <c r="M31" s="38">
        <f t="shared" ca="1" si="20"/>
        <v>809833</v>
      </c>
      <c r="N31" s="38">
        <f t="shared" si="20"/>
        <v>622106</v>
      </c>
      <c r="O31" s="38">
        <f t="shared" ca="1" si="17"/>
        <v>76.819047877772334</v>
      </c>
      <c r="P31" s="38">
        <f t="shared" ca="1" si="18"/>
        <v>76.819047877772334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809833</v>
      </c>
      <c r="M33" s="45">
        <f t="shared" ca="1" si="21"/>
        <v>809833</v>
      </c>
      <c r="N33" s="45">
        <f t="shared" si="21"/>
        <v>622106</v>
      </c>
      <c r="O33" s="45">
        <f t="shared" ca="1" si="17"/>
        <v>76.819047877772334</v>
      </c>
      <c r="P33" s="45">
        <f t="shared" ca="1" si="18"/>
        <v>76.819047877772334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3393208</v>
      </c>
      <c r="N37" s="59">
        <f t="shared" ca="1" si="24"/>
        <v>2873450.74</v>
      </c>
      <c r="O37" s="59">
        <f t="shared" ca="1" si="17"/>
        <v>109.06029067048843</v>
      </c>
      <c r="P37" s="59">
        <f t="shared" ca="1" si="18"/>
        <v>84.682422651367091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311728</v>
      </c>
      <c r="N41" s="85">
        <f t="shared" ca="1" si="25"/>
        <v>307964</v>
      </c>
      <c r="O41" s="85">
        <f t="shared" ref="O41:O49" ca="1" si="26">IF(L41&gt;0,N41*100/L41,0)</f>
        <v>102.96493433546419</v>
      </c>
      <c r="P41" s="85">
        <f t="shared" ref="P41:P49" ca="1" si="27">IF(M41&gt;0,N41*100/M41,0)</f>
        <v>98.79253708361135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311728</v>
      </c>
      <c r="N43" s="92">
        <f t="shared" ca="1" si="28"/>
        <v>307964</v>
      </c>
      <c r="O43" s="92">
        <f t="shared" ca="1" si="26"/>
        <v>102.96493433546419</v>
      </c>
      <c r="P43" s="92">
        <f t="shared" ca="1" si="27"/>
        <v>98.79253708361135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299096</v>
      </c>
      <c r="M44" s="38">
        <f t="shared" ca="1" si="29"/>
        <v>311728</v>
      </c>
      <c r="N44" s="38">
        <f t="shared" ca="1" si="29"/>
        <v>307964</v>
      </c>
      <c r="O44" s="38">
        <f t="shared" ca="1" si="26"/>
        <v>102.96493433546419</v>
      </c>
      <c r="P44" s="38">
        <f t="shared" ca="1" si="27"/>
        <v>98.79253708361135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IFERROR(__xludf.DUMMYFUNCTION("IMPORTRANGE(""https://docs.google.com/spreadsheets/d/1MeEWN-I1oV_STSDYn1IFDPWt_1FKiwhDph83XaGc0o0/edit?usp=sharing"",""งบพรบ!M54"")"),299096)</f>
        <v>299096</v>
      </c>
      <c r="M46" s="45">
        <f ca="1">IFERROR(__xludf.DUMMYFUNCTION("IMPORTRANGE(""https://docs.google.com/spreadsheets/d/1MeEWN-I1oV_STSDYn1IFDPWt_1FKiwhDph83XaGc0o0/edit?usp=sharing"",""งบพรบ!R54"")"),311728)</f>
        <v>311728</v>
      </c>
      <c r="N46" s="45">
        <f ca="1">IFERROR(__xludf.DUMMYFUNCTION("IMPORTRANGE(""https://docs.google.com/spreadsheets/d/1MeEWN-I1oV_STSDYn1IFDPWt_1FKiwhDph83XaGc0o0/edit?usp=sharing"",""งบพรบ!T54"")"),307964)</f>
        <v>307964</v>
      </c>
      <c r="O46" s="45">
        <f t="shared" ca="1" si="26"/>
        <v>102.96493433546419</v>
      </c>
      <c r="P46" s="45">
        <f t="shared" ca="1" si="27"/>
        <v>98.79253708361135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617200</v>
      </c>
      <c r="M53" s="115">
        <f t="shared" ca="1" si="31"/>
        <v>1289400</v>
      </c>
      <c r="N53" s="115">
        <f t="shared" ca="1" si="31"/>
        <v>1159597.1400000001</v>
      </c>
      <c r="O53" s="115">
        <f t="shared" ref="O53:O61" ca="1" si="32">IF(L53&gt;0,N53*100/L53,0)</f>
        <v>187.88028839922231</v>
      </c>
      <c r="P53" s="115">
        <f t="shared" ref="P53:P61" ca="1" si="33">IF(M53&gt;0,N53*100/M53,0)</f>
        <v>89.933080502559335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617200</v>
      </c>
      <c r="M55" s="122">
        <f t="shared" ca="1" si="34"/>
        <v>1289400</v>
      </c>
      <c r="N55" s="122">
        <f t="shared" ca="1" si="34"/>
        <v>1159597.1400000001</v>
      </c>
      <c r="O55" s="122">
        <f t="shared" ca="1" si="32"/>
        <v>187.88028839922231</v>
      </c>
      <c r="P55" s="122">
        <f t="shared" ca="1" si="33"/>
        <v>89.933080502559335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617200</v>
      </c>
      <c r="M56" s="38">
        <f t="shared" ca="1" si="35"/>
        <v>704200</v>
      </c>
      <c r="N56" s="38">
        <f t="shared" ca="1" si="35"/>
        <v>574397.14</v>
      </c>
      <c r="O56" s="38">
        <f t="shared" ca="1" si="32"/>
        <v>93.064993519118602</v>
      </c>
      <c r="P56" s="38">
        <f t="shared" ca="1" si="33"/>
        <v>81.567330303890941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IFERROR(__xludf.DUMMYFUNCTION("IMPORTRANGE(""https://docs.google.com/spreadsheets/d/1MeEWN-I1oV_STSDYn1IFDPWt_1FKiwhDph83XaGc0o0/edit?usp=sharing"",""งบพรบ!W54"")"),617200)</f>
        <v>617200</v>
      </c>
      <c r="M58" s="45">
        <f ca="1">IFERROR(__xludf.DUMMYFUNCTION("IMPORTRANGE(""https://docs.google.com/spreadsheets/d/1MeEWN-I1oV_STSDYn1IFDPWt_1FKiwhDph83XaGc0o0/edit?usp=sharing"",""งบพรบ!AB54"")"),704200)</f>
        <v>704200</v>
      </c>
      <c r="N58" s="45">
        <f ca="1">IFERROR(__xludf.DUMMYFUNCTION("IMPORTRANGE(""https://docs.google.com/spreadsheets/d/1MeEWN-I1oV_STSDYn1IFDPWt_1FKiwhDph83XaGc0o0/edit?usp=sharing"",""งบพรบ!AD54"")"),574397.14)</f>
        <v>574397.14</v>
      </c>
      <c r="O58" s="45">
        <f t="shared" ca="1" si="32"/>
        <v>93.064993519118602</v>
      </c>
      <c r="P58" s="45">
        <f t="shared" ca="1" si="33"/>
        <v>81.567330303890941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585200</v>
      </c>
      <c r="N59" s="38">
        <f t="shared" ca="1" si="36"/>
        <v>585200</v>
      </c>
      <c r="O59" s="38">
        <f t="shared" ca="1" si="32"/>
        <v>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IFERROR(__xludf.DUMMYFUNCTION("IMPORTRANGE(""https://docs.google.com/spreadsheets/d/1MeEWN-I1oV_STSDYn1IFDPWt_1FKiwhDph83XaGc0o0/edit?usp=sharing"",""งบพรบ!AG54"")"),0)</f>
        <v>0</v>
      </c>
      <c r="M71" s="45">
        <f ca="1">IFERROR(__xludf.DUMMYFUNCTION("IMPORTRANGE(""https://docs.google.com/spreadsheets/d/1MeEWN-I1oV_STSDYn1IFDPWt_1FKiwhDph83XaGc0o0/edit?usp=sharing"",""งบพรบ!AL54"")"),0)</f>
        <v>0</v>
      </c>
      <c r="N71" s="45">
        <f ca="1">IFERROR(__xludf.DUMMYFUNCTION("IMPORTRANGE(""https://docs.google.com/spreadsheets/d/1MeEWN-I1oV_STSDYn1IFDPWt_1FKiwhDph83XaGc0o0/edit?usp=sharing"",""งบพรบ!AN54"")"),0)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IFERROR(__xludf.DUMMYFUNCTION("IMPORTRANGE(""https://docs.google.com/spreadsheets/d/1MeEWN-I1oV_STSDYn1IFDPWt_1FKiwhDph83XaGc0o0/edit?usp=sharing"",""งบพรบ!AJ54"")"),0)</f>
        <v>0</v>
      </c>
      <c r="M74" s="45">
        <f ca="1">IFERROR(__xludf.DUMMYFUNCTION("IMPORTRANGE(""https://docs.google.com/spreadsheets/d/1MeEWN-I1oV_STSDYn1IFDPWt_1FKiwhDph83XaGc0o0/edit?usp=sharing"",""งบพรบ!AM54"")"),0)</f>
        <v>0</v>
      </c>
      <c r="N74" s="45">
        <f ca="1">IFERROR(__xludf.DUMMYFUNCTION("IMPORTRANGE(""https://docs.google.com/spreadsheets/d/1MeEWN-I1oV_STSDYn1IFDPWt_1FKiwhDph83XaGc0o0/edit?usp=sharing"",""งบพรบ!AO54"")"),0)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IFERROR(__xludf.DUMMYFUNCTION("IMPORTRANGE(""https://docs.google.com/spreadsheets/d/1QqKyyYR6Q21VydFLVH3TRQUabQu_ym0Zz7PgGX0-kHA/edit?usp=sharing"",""แผน!H54"")"),0)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IFERROR(__xludf.DUMMYFUNCTION("IMPORTRANGE(""https://docs.google.com/spreadsheets/d/1QqKyyYR6Q21VydFLVH3TRQUabQu_ym0Zz7PgGX0-kHA/edit?usp=sharing"",""แผน!I54"")"),0)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IFERROR(__xludf.DUMMYFUNCTION("IMPORTRANGE(""https://docs.google.com/spreadsheets/d/1QqKyyYR6Q21VydFLVH3TRQUabQu_ym0Zz7PgGX0-kHA/edit?usp=sharing"",""แผน!J54"")"),0)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378840</v>
      </c>
      <c r="M88" s="154">
        <f t="shared" ca="1" si="49"/>
        <v>378840</v>
      </c>
      <c r="N88" s="154">
        <f t="shared" ca="1" si="49"/>
        <v>274584.59999999998</v>
      </c>
      <c r="O88" s="154">
        <f t="shared" ref="O88:O96" ca="1" si="50">IF(L88&gt;0,N88*100/L88,0)</f>
        <v>72.480361102312315</v>
      </c>
      <c r="P88" s="154">
        <f t="shared" ref="P88:P96" ca="1" si="51">IF(M88&gt;0,N88*100/M88,0)</f>
        <v>72.480361102312315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378840</v>
      </c>
      <c r="M90" s="45">
        <f t="shared" ca="1" si="52"/>
        <v>378840</v>
      </c>
      <c r="N90" s="45">
        <f t="shared" ca="1" si="52"/>
        <v>274584.59999999998</v>
      </c>
      <c r="O90" s="45">
        <f t="shared" ca="1" si="50"/>
        <v>72.480361102312315</v>
      </c>
      <c r="P90" s="45">
        <f t="shared" ca="1" si="51"/>
        <v>72.480361102312315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378840</v>
      </c>
      <c r="M91" s="38">
        <f t="shared" ca="1" si="53"/>
        <v>378840</v>
      </c>
      <c r="N91" s="38">
        <f t="shared" ca="1" si="53"/>
        <v>274584.59999999998</v>
      </c>
      <c r="O91" s="38">
        <f t="shared" ca="1" si="50"/>
        <v>72.480361102312315</v>
      </c>
      <c r="P91" s="38">
        <f t="shared" ca="1" si="51"/>
        <v>72.480361102312315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IFERROR(__xludf.DUMMYFUNCTION("IMPORTRANGE(""https://docs.google.com/spreadsheets/d/1MeEWN-I1oV_STSDYn1IFDPWt_1FKiwhDph83XaGc0o0/edit?usp=sharing"",""งบพรบ!AQ54"")"),378840)</f>
        <v>378840</v>
      </c>
      <c r="M93" s="45">
        <f ca="1">IFERROR(__xludf.DUMMYFUNCTION("IMPORTRANGE(""https://docs.google.com/spreadsheets/d/1MeEWN-I1oV_STSDYn1IFDPWt_1FKiwhDph83XaGc0o0/edit?usp=sharing"",""งบพรบ!AV54"")"),378840)</f>
        <v>378840</v>
      </c>
      <c r="N93" s="45">
        <f ca="1">IFERROR(__xludf.DUMMYFUNCTION("IMPORTRANGE(""https://docs.google.com/spreadsheets/d/1MeEWN-I1oV_STSDYn1IFDPWt_1FKiwhDph83XaGc0o0/edit?usp=sharing"",""งบพรบ!AX54"")"),274584.6)</f>
        <v>274584.59999999998</v>
      </c>
      <c r="O93" s="45">
        <f t="shared" ca="1" si="50"/>
        <v>72.480361102312315</v>
      </c>
      <c r="P93" s="45">
        <f t="shared" ca="1" si="51"/>
        <v>72.480361102312315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IFERROR(__xludf.DUMMYFUNCTION("IMPORTRANGE(""https://docs.google.com/spreadsheets/d/1MeEWN-I1oV_STSDYn1IFDPWt_1FKiwhDph83XaGc0o0/edit?usp=sharing"",""งบพรบ!AT54"")"),0)</f>
        <v>0</v>
      </c>
      <c r="M96" s="45">
        <f ca="1">IFERROR(__xludf.DUMMYFUNCTION("IMPORTRANGE(""https://docs.google.com/spreadsheets/d/1MeEWN-I1oV_STSDYn1IFDPWt_1FKiwhDph83XaGc0o0/edit?usp=sharing"",""งบพรบ!AW54"")"),0)</f>
        <v>0</v>
      </c>
      <c r="N96" s="45">
        <f ca="1">IFERROR(__xludf.DUMMYFUNCTION("IMPORTRANGE(""https://docs.google.com/spreadsheets/d/1MeEWN-I1oV_STSDYn1IFDPWt_1FKiwhDph83XaGc0o0/edit?usp=sharing"",""งบพรบ!AY54"")"),0)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IFERROR(__xludf.DUMMYFUNCTION("IMPORTRANGE(""https://docs.google.com/spreadsheets/d/1QqKyyYR6Q21VydFLVH3TRQUabQu_ym0Zz7PgGX0-kHA/edit?usp=sharing"",""แผน!K54"")"),30)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IFERROR(__xludf.DUMMYFUNCTION("IMPORTRANGE(""https://docs.google.com/spreadsheets/d/1QqKyyYR6Q21VydFLVH3TRQUabQu_ym0Zz7PgGX0-kHA/edit?usp=sharing"",""แผน!L54"")"),10)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IFERROR(__xludf.DUMMYFUNCTION("IMPORTRANGE(""https://docs.google.com/spreadsheets/d/1QqKyyYR6Q21VydFLVH3TRQUabQu_ym0Zz7PgGX0-kHA/edit?usp=sharing"",""แผน!M54"")"),2)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IFERROR(__xludf.DUMMYFUNCTION("IMPORTRANGE(""https://docs.google.com/spreadsheets/d/1QqKyyYR6Q21VydFLVH3TRQUabQu_ym0Zz7PgGX0-kHA/edit?usp=sharing"",""แผน!N54"")"),30)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IFERROR(__xludf.DUMMYFUNCTION("IMPORTRANGE(""https://docs.google.com/spreadsheets/d/1QqKyyYR6Q21VydFLVH3TRQUabQu_ym0Zz7PgGX0-kHA/edit?usp=sharing"",""แผน!O54"")"),10)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IFERROR(__xludf.DUMMYFUNCTION("IMPORTRANGE(""https://docs.google.com/spreadsheets/d/1QqKyyYR6Q21VydFLVH3TRQUabQu_ym0Zz7PgGX0-kHA/edit?usp=sharing"",""แผน!O54"")"),10)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IFERROR(__xludf.DUMMYFUNCTION("IMPORTRANGE(""https://docs.google.com/spreadsheets/d/1QqKyyYR6Q21VydFLVH3TRQUabQu_ym0Zz7PgGX0-kHA/edit?usp=sharing"",""แผน!P54"")"),1)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IFERROR(__xludf.DUMMYFUNCTION("IMPORTRANGE(""https://docs.google.com/spreadsheets/d/1QqKyyYR6Q21VydFLVH3TRQUabQu_ym0Zz7PgGX0-kHA/edit?usp=sharing"",""แผน!P54"")"),1)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IFERROR(__xludf.DUMMYFUNCTION("IMPORTRANGE(""https://docs.google.com/spreadsheets/d/1QqKyyYR6Q21VydFLVH3TRQUabQu_ym0Zz7PgGX0-kHA/edit?usp=sharing"",""แผน!Q54"")"),1)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IFERROR(__xludf.DUMMYFUNCTION("IMPORTRANGE(""https://docs.google.com/spreadsheets/d/1QqKyyYR6Q21VydFLVH3TRQUabQu_ym0Zz7PgGX0-kHA/edit?usp=sharing"",""แผน!Q54"")"),1)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IFERROR(__xludf.DUMMYFUNCTION("IMPORTRANGE(""https://docs.google.com/spreadsheets/d/1QqKyyYR6Q21VydFLVH3TRQUabQu_ym0Zz7PgGX0-kHA/edit?usp=sharing"",""แผน!R54"")"),10)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IFERROR(__xludf.DUMMYFUNCTION("IMPORTRANGE(""https://docs.google.com/spreadsheets/d/1QqKyyYR6Q21VydFLVH3TRQUabQu_ym0Zz7PgGX0-kHA/edit?usp=sharing"",""แผน!R54"")"),10)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IFERROR(__xludf.DUMMYFUNCTION("IMPORTRANGE(""https://docs.google.com/spreadsheets/d/1QqKyyYR6Q21VydFLVH3TRQUabQu_ym0Zz7PgGX0-kHA/edit?usp=sharing"",""แผน!R54"")"),10)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IFERROR(__xludf.DUMMYFUNCTION("IMPORTRANGE(""https://docs.google.com/spreadsheets/d/1QqKyyYR6Q21VydFLVH3TRQUabQu_ym0Zz7PgGX0-kHA/edit?usp=sharing"",""แผน!S54"")"),1)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IFERROR(__xludf.DUMMYFUNCTION("IMPORTRANGE(""https://docs.google.com/spreadsheets/d/1QqKyyYR6Q21VydFLVH3TRQUabQu_ym0Zz7PgGX0-kHA/edit?usp=sharing"",""แผน!T54"")"),1)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IFERROR(__xludf.DUMMYFUNCTION("IMPORTRANGE(""https://docs.google.com/spreadsheets/d/1MeEWN-I1oV_STSDYn1IFDPWt_1FKiwhDph83XaGc0o0/edit?usp=sharing"",""งบพรบ!BA54"")"),0)</f>
        <v>0</v>
      </c>
      <c r="M124" s="45">
        <f ca="1">IFERROR(__xludf.DUMMYFUNCTION("IMPORTRANGE(""https://docs.google.com/spreadsheets/d/1MeEWN-I1oV_STSDYn1IFDPWt_1FKiwhDph83XaGc0o0/edit?usp=sharing"",""งบพรบ!BF54"")"),0)</f>
        <v>0</v>
      </c>
      <c r="N124" s="45">
        <f ca="1">IFERROR(__xludf.DUMMYFUNCTION("IMPORTRANGE(""https://docs.google.com/spreadsheets/d/1MeEWN-I1oV_STSDYn1IFDPWt_1FKiwhDph83XaGc0o0/edit?usp=sharing"",""งบพรบ!BH54"")"),0)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IFERROR(__xludf.DUMMYFUNCTION("IMPORTRANGE(""https://docs.google.com/spreadsheets/d/1MeEWN-I1oV_STSDYn1IFDPWt_1FKiwhDph83XaGc0o0/edit?usp=sharing"",""งบพรบ!BD54"")"),0)</f>
        <v>0</v>
      </c>
      <c r="M127" s="45">
        <f ca="1">IFERROR(__xludf.DUMMYFUNCTION("IMPORTRANGE(""https://docs.google.com/spreadsheets/d/1MeEWN-I1oV_STSDYn1IFDPWt_1FKiwhDph83XaGc0o0/edit?usp=sharing"",""งบพรบ!BG54"")"),0)</f>
        <v>0</v>
      </c>
      <c r="N127" s="45">
        <f ca="1">IFERROR(__xludf.DUMMYFUNCTION("IMPORTRANGE(""https://docs.google.com/spreadsheets/d/1MeEWN-I1oV_STSDYn1IFDPWt_1FKiwhDph83XaGc0o0/edit?usp=sharing"",""งบพรบ!BI54"")"),0)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IFERROR(__xludf.DUMMYFUNCTION("IMPORTRANGE(""https://docs.google.com/spreadsheets/d/1MeEWN-I1oV_STSDYn1IFDPWt_1FKiwhDph83XaGc0o0/edit?usp=sharing"",""งบพรบ!BK54"")"),0)</f>
        <v>0</v>
      </c>
      <c r="M137" s="45">
        <f ca="1">IFERROR(__xludf.DUMMYFUNCTION("IMPORTRANGE(""https://docs.google.com/spreadsheets/d/1MeEWN-I1oV_STSDYn1IFDPWt_1FKiwhDph83XaGc0o0/edit?usp=sharing"",""งบพรบ!BP54"")"),0)</f>
        <v>0</v>
      </c>
      <c r="N137" s="45">
        <f ca="1">IFERROR(__xludf.DUMMYFUNCTION("IMPORTRANGE(""https://docs.google.com/spreadsheets/d/1MeEWN-I1oV_STSDYn1IFDPWt_1FKiwhDph83XaGc0o0/edit?usp=sharing"",""งบพรบ!BR54"")"),0)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IFERROR(__xludf.DUMMYFUNCTION("IMPORTRANGE(""https://docs.google.com/spreadsheets/d/1MeEWN-I1oV_STSDYn1IFDPWt_1FKiwhDph83XaGc0o0/edit?usp=sharing"",""งบพรบ!BN54"")"),0)</f>
        <v>0</v>
      </c>
      <c r="M140" s="45">
        <f ca="1">IFERROR(__xludf.DUMMYFUNCTION("IMPORTRANGE(""https://docs.google.com/spreadsheets/d/1MeEWN-I1oV_STSDYn1IFDPWt_1FKiwhDph83XaGc0o0/edit?usp=sharing"",""งบพรบ!BQ54"")"),0)</f>
        <v>0</v>
      </c>
      <c r="N140" s="45">
        <f ca="1">IFERROR(__xludf.DUMMYFUNCTION("IMPORTRANGE(""https://docs.google.com/spreadsheets/d/1MeEWN-I1oV_STSDYn1IFDPWt_1FKiwhDph83XaGc0o0/edit?usp=sharing"",""งบพรบ!BS54"")"),0)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2240</v>
      </c>
      <c r="N149" s="154">
        <f t="shared" ca="1" si="77"/>
        <v>2240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2240</v>
      </c>
      <c r="N151" s="45">
        <f t="shared" ca="1" si="80"/>
        <v>2240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2240</v>
      </c>
      <c r="N152" s="38">
        <f t="shared" ca="1" si="81"/>
        <v>2240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IFERROR(__xludf.DUMMYFUNCTION("IMPORTRANGE(""https://docs.google.com/spreadsheets/d/1MeEWN-I1oV_STSDYn1IFDPWt_1FKiwhDph83XaGc0o0/edit?usp=sharing"",""งบพรบ!BU54"")"),0)</f>
        <v>0</v>
      </c>
      <c r="M154" s="45">
        <f ca="1">IFERROR(__xludf.DUMMYFUNCTION("IMPORTRANGE(""https://docs.google.com/spreadsheets/d/1MeEWN-I1oV_STSDYn1IFDPWt_1FKiwhDph83XaGc0o0/edit?usp=sharing"",""งบพรบ!BZ54"")"),2240)</f>
        <v>2240</v>
      </c>
      <c r="N154" s="45">
        <f ca="1">IFERROR(__xludf.DUMMYFUNCTION("IMPORTRANGE(""https://docs.google.com/spreadsheets/d/1MeEWN-I1oV_STSDYn1IFDPWt_1FKiwhDph83XaGc0o0/edit?usp=sharing"",""งบพรบ!CB54"")"),2240)</f>
        <v>2240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IFERROR(__xludf.DUMMYFUNCTION("IMPORTRANGE(""https://docs.google.com/spreadsheets/d/1MeEWN-I1oV_STSDYn1IFDPWt_1FKiwhDph83XaGc0o0/edit?usp=sharing"",""งบพรบ!BX54"")"),0)</f>
        <v>0</v>
      </c>
      <c r="M157" s="45">
        <f ca="1">IFERROR(__xludf.DUMMYFUNCTION("IMPORTRANGE(""https://docs.google.com/spreadsheets/d/1MeEWN-I1oV_STSDYn1IFDPWt_1FKiwhDph83XaGc0o0/edit?usp=sharing"",""งบพรบ!CA54"")"),0)</f>
        <v>0</v>
      </c>
      <c r="N157" s="45">
        <f ca="1">IFERROR(__xludf.DUMMYFUNCTION("IMPORTRANGE(""https://docs.google.com/spreadsheets/d/1MeEWN-I1oV_STSDYn1IFDPWt_1FKiwhDph83XaGc0o0/edit?usp=sharing"",""งบพรบ!CC54"")"),0)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31990</v>
      </c>
      <c r="N165" s="154">
        <f t="shared" ca="1" si="84"/>
        <v>31990</v>
      </c>
      <c r="O165" s="154">
        <f t="shared" ref="O165:O173" ca="1" si="85">IF(L165&gt;0,N165*100/L165,0)</f>
        <v>151.97149643705464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31990</v>
      </c>
      <c r="N167" s="45">
        <f t="shared" ca="1" si="87"/>
        <v>31990</v>
      </c>
      <c r="O167" s="45">
        <f t="shared" ca="1" si="85"/>
        <v>151.97149643705464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31990</v>
      </c>
      <c r="N168" s="38">
        <f t="shared" ca="1" si="88"/>
        <v>31990</v>
      </c>
      <c r="O168" s="38">
        <f t="shared" ca="1" si="85"/>
        <v>151.97149643705464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IFERROR(__xludf.DUMMYFUNCTION("IMPORTRANGE(""https://docs.google.com/spreadsheets/d/1MeEWN-I1oV_STSDYn1IFDPWt_1FKiwhDph83XaGc0o0/edit?usp=sharing"",""งบพรบ!CE54"")"),21050)</f>
        <v>21050</v>
      </c>
      <c r="M170" s="45">
        <f ca="1">IFERROR(__xludf.DUMMYFUNCTION("IMPORTRANGE(""https://docs.google.com/spreadsheets/d/1MeEWN-I1oV_STSDYn1IFDPWt_1FKiwhDph83XaGc0o0/edit?usp=sharing"",""งบพรบ!CJ54"")"),31990)</f>
        <v>31990</v>
      </c>
      <c r="N170" s="45">
        <f ca="1">IFERROR(__xludf.DUMMYFUNCTION("IMPORTRANGE(""https://docs.google.com/spreadsheets/d/1MeEWN-I1oV_STSDYn1IFDPWt_1FKiwhDph83XaGc0o0/edit?usp=sharing"",""งบพรบ!CL54"")"),31990)</f>
        <v>31990</v>
      </c>
      <c r="O170" s="45">
        <f t="shared" ca="1" si="85"/>
        <v>151.97149643705464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IFERROR(__xludf.DUMMYFUNCTION("IMPORTRANGE(""https://docs.google.com/spreadsheets/d/1MeEWN-I1oV_STSDYn1IFDPWt_1FKiwhDph83XaGc0o0/edit?usp=sharing"",""งบพรบ!CH54"")"),0)</f>
        <v>0</v>
      </c>
      <c r="M173" s="45">
        <f ca="1">IFERROR(__xludf.DUMMYFUNCTION("IMPORTRANGE(""https://docs.google.com/spreadsheets/d/1MeEWN-I1oV_STSDYn1IFDPWt_1FKiwhDph83XaGc0o0/edit?usp=sharing"",""งบพรบ!CK54"")"),0)</f>
        <v>0</v>
      </c>
      <c r="N173" s="45">
        <f ca="1">IFERROR(__xludf.DUMMYFUNCTION("IMPORTRANGE(""https://docs.google.com/spreadsheets/d/1MeEWN-I1oV_STSDYn1IFDPWt_1FKiwhDph83XaGc0o0/edit?usp=sharing"",""งบพรบ!CM54"")"),0)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IFERROR(__xludf.DUMMYFUNCTION("IMPORTRANGE(""https://docs.google.com/spreadsheets/d/1QqKyyYR6Q21VydFLVH3TRQUabQu_ym0Zz7PgGX0-kHA/edit?usp=sharing"",""แผน!Y54"")"),10)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20</v>
      </c>
      <c r="J180" s="242">
        <f t="shared" si="91"/>
        <v>20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142100</v>
      </c>
      <c r="M181" s="154">
        <f t="shared" ca="1" si="92"/>
        <v>150060</v>
      </c>
      <c r="N181" s="154">
        <f t="shared" ca="1" si="92"/>
        <v>117599</v>
      </c>
      <c r="O181" s="154">
        <f t="shared" ref="O181:O189" ca="1" si="93">IF(L181&gt;0,N181*100/L181,0)</f>
        <v>82.75791695988741</v>
      </c>
      <c r="P181" s="154">
        <f t="shared" ref="P181:P189" ca="1" si="94">IF(M181&gt;0,N181*100/M181,0)</f>
        <v>78.367986138877782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142100</v>
      </c>
      <c r="M183" s="45">
        <f t="shared" ca="1" si="95"/>
        <v>150060</v>
      </c>
      <c r="N183" s="45">
        <f t="shared" ca="1" si="95"/>
        <v>117599</v>
      </c>
      <c r="O183" s="45">
        <f t="shared" ca="1" si="93"/>
        <v>82.75791695988741</v>
      </c>
      <c r="P183" s="45">
        <f t="shared" ca="1" si="94"/>
        <v>78.367986138877782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142100</v>
      </c>
      <c r="M184" s="38">
        <f t="shared" ca="1" si="96"/>
        <v>150060</v>
      </c>
      <c r="N184" s="38">
        <f t="shared" ca="1" si="96"/>
        <v>117599</v>
      </c>
      <c r="O184" s="38">
        <f t="shared" ca="1" si="93"/>
        <v>82.75791695988741</v>
      </c>
      <c r="P184" s="38">
        <f t="shared" ca="1" si="94"/>
        <v>78.367986138877782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IFERROR(__xludf.DUMMYFUNCTION("IMPORTRANGE(""https://docs.google.com/spreadsheets/d/1MeEWN-I1oV_STSDYn1IFDPWt_1FKiwhDph83XaGc0o0/edit?usp=sharing"",""งบพรบ!CO54"")"),142100)</f>
        <v>142100</v>
      </c>
      <c r="M186" s="45">
        <f ca="1">IFERROR(__xludf.DUMMYFUNCTION("IMPORTRANGE(""https://docs.google.com/spreadsheets/d/1MeEWN-I1oV_STSDYn1IFDPWt_1FKiwhDph83XaGc0o0/edit?usp=sharing"",""งบพรบ!CT54"")"),150060)</f>
        <v>150060</v>
      </c>
      <c r="N186" s="45">
        <f ca="1">IFERROR(__xludf.DUMMYFUNCTION("IMPORTRANGE(""https://docs.google.com/spreadsheets/d/1MeEWN-I1oV_STSDYn1IFDPWt_1FKiwhDph83XaGc0o0/edit?usp=sharing"",""งบพรบ!CV54"")"),117599)</f>
        <v>117599</v>
      </c>
      <c r="O186" s="45">
        <f t="shared" ca="1" si="93"/>
        <v>82.75791695988741</v>
      </c>
      <c r="P186" s="45">
        <f t="shared" ca="1" si="94"/>
        <v>78.367986138877782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IFERROR(__xludf.DUMMYFUNCTION("IMPORTRANGE(""https://docs.google.com/spreadsheets/d/1MeEWN-I1oV_STSDYn1IFDPWt_1FKiwhDph83XaGc0o0/edit?usp=sharing"",""งบพรบ!CR54"")"),0)</f>
        <v>0</v>
      </c>
      <c r="M189" s="45">
        <f ca="1">IFERROR(__xludf.DUMMYFUNCTION("IMPORTRANGE(""https://docs.google.com/spreadsheets/d/1MeEWN-I1oV_STSDYn1IFDPWt_1FKiwhDph83XaGc0o0/edit?usp=sharing"",""งบพรบ!CU54"")"),0)</f>
        <v>0</v>
      </c>
      <c r="N189" s="45">
        <f ca="1">IFERROR(__xludf.DUMMYFUNCTION("IMPORTRANGE(""https://docs.google.com/spreadsheets/d/1MeEWN-I1oV_STSDYn1IFDPWt_1FKiwhDph83XaGc0o0/edit?usp=sharing"",""งบพรบ!CW54"")"),0)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IFERROR(__xludf.DUMMYFUNCTION("IMPORTRANGE(""https://docs.google.com/spreadsheets/d/1QqKyyYR6Q21VydFLVH3TRQUabQu_ym0Zz7PgGX0-kHA/edit?usp=sharing"",""แผน!Z54"")"),6000)</f>
        <v>6000</v>
      </c>
      <c r="M191" s="154"/>
      <c r="N191" s="264">
        <v>4640</v>
      </c>
      <c r="O191" s="154">
        <f ca="1">IF(L191&gt;0,N191*100/L191,0)</f>
        <v>77.333333333333329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IFERROR(__xludf.DUMMYFUNCTION("IMPORTRANGE(""https://docs.google.com/spreadsheets/d/1QqKyyYR6Q21VydFLVH3TRQUabQu_ym0Zz7PgGX0-kHA/edit?usp=sharing"",""แผน!AC54"")"),4)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348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IFERROR(__xludf.DUMMYFUNCTION("IMPORTRANGE(""https://docs.google.com/spreadsheets/d/1QqKyyYR6Q21VydFLVH3TRQUabQu_ym0Zz7PgGX0-kHA/edit?usp=sharing"",""แผน!AE54"")"),2000)</f>
        <v>2000</v>
      </c>
      <c r="M199" s="38"/>
      <c r="N199" s="271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IFERROR(__xludf.DUMMYFUNCTION("IMPORTRANGE(""https://docs.google.com/spreadsheets/d/1QqKyyYR6Q21VydFLVH3TRQUabQu_ym0Zz7PgGX0-kHA/edit?usp=sharing"",""แผน!AF54"")"),16000)</f>
        <v>16000</v>
      </c>
      <c r="M200" s="38"/>
      <c r="N200" s="271">
        <v>16000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IFERROR(__xludf.DUMMYFUNCTION("IMPORTRANGE(""https://docs.google.com/spreadsheets/d/1QqKyyYR6Q21VydFLVH3TRQUabQu_ym0Zz7PgGX0-kHA/edit?usp=sharing"",""แผน!AG54"")"),8000)</f>
        <v>8000</v>
      </c>
      <c r="M201" s="38"/>
      <c r="N201" s="271">
        <v>8000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IFERROR(__xludf.DUMMYFUNCTION("IMPORTRANGE(""https://docs.google.com/spreadsheets/d/1QqKyyYR6Q21VydFLVH3TRQUabQu_ym0Zz7PgGX0-kHA/edit?usp=sharing"",""แผน!AH54"")"),0)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IFERROR(__xludf.DUMMYFUNCTION("IMPORTRANGE(""https://docs.google.com/spreadsheets/d/1QqKyyYR6Q21VydFLVH3TRQUabQu_ym0Zz7PgGX0-kHA/edit?usp=sharing"",""แผน!AI54"")"),2)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IFERROR(__xludf.DUMMYFUNCTION("IMPORTRANGE(""https://docs.google.com/spreadsheets/d/1QqKyyYR6Q21VydFLVH3TRQUabQu_ym0Zz7PgGX0-kHA/edit?usp=sharing"",""แผน!AK54"")"),1000)</f>
        <v>1000</v>
      </c>
      <c r="M210" s="38"/>
      <c r="N210" s="271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IFERROR(__xludf.DUMMYFUNCTION("IMPORTRANGE(""https://docs.google.com/spreadsheets/d/1QqKyyYR6Q21VydFLVH3TRQUabQu_ym0Zz7PgGX0-kHA/edit?usp=sharing"",""แผน!AL54"")"),5000)</f>
        <v>5000</v>
      </c>
      <c r="M211" s="38"/>
      <c r="N211" s="271">
        <v>5000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IFERROR(__xludf.DUMMYFUNCTION("IMPORTRANGE(""https://docs.google.com/spreadsheets/d/1QqKyyYR6Q21VydFLVH3TRQUabQu_ym0Zz7PgGX0-kHA/edit?usp=sharing"",""แผน!AM54"")"),8000)</f>
        <v>8000</v>
      </c>
      <c r="M212" s="38"/>
      <c r="N212" s="271">
        <v>8000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IFERROR(__xludf.DUMMYFUNCTION("IMPORTRANGE(""https://docs.google.com/spreadsheets/d/1QqKyyYR6Q21VydFLVH3TRQUabQu_ym0Zz7PgGX0-kHA/edit?usp=sharing"",""แผน!AN54"")"),1)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IFERROR(__xludf.DUMMYFUNCTION("IMPORTRANGE(""https://docs.google.com/spreadsheets/d/1QqKyyYR6Q21VydFLVH3TRQUabQu_ym0Zz7PgGX0-kHA/edit?usp=sharing"",""แผน!AN54"")"),1)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12800</v>
      </c>
      <c r="J216" s="260">
        <f t="shared" si="103"/>
        <v>12800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7100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IFERROR(__xludf.DUMMYFUNCTION("IMPORTRANGE(""https://docs.google.com/spreadsheets/d/1QqKyyYR6Q21VydFLVH3TRQUabQu_ym0Zz7PgGX0-kHA/edit?usp=sharing"",""แผน!AP54"")"),3000)</f>
        <v>3000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IFERROR(__xludf.DUMMYFUNCTION("IMPORTRANGE(""https://docs.google.com/spreadsheets/d/1QqKyyYR6Q21VydFLVH3TRQUabQu_ym0Zz7PgGX0-kHA/edit?usp=sharing"",""แผน!AQ54"")"),4100)</f>
        <v>4100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IFERROR(__xludf.DUMMYFUNCTION("IMPORTRANGE(""https://docs.google.com/spreadsheets/d/1QqKyyYR6Q21VydFLVH3TRQUabQu_ym0Zz7PgGX0-kHA/edit?usp=sharing"",""แผน!AR54"")"),0)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IFERROR(__xludf.DUMMYFUNCTION("IMPORTRANGE(""https://docs.google.com/spreadsheets/d/1QqKyyYR6Q21VydFLVH3TRQUabQu_ym0Zz7PgGX0-kHA/edit?usp=sharing"",""แผน!AT54"")"),12800)</f>
        <v>12800</v>
      </c>
      <c r="J223" s="181">
        <v>12800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IFERROR(__xludf.DUMMYFUNCTION("IMPORTRANGE(""https://docs.google.com/spreadsheets/d/1QqKyyYR6Q21VydFLVH3TRQUabQu_ym0Zz7PgGX0-kHA/edit?usp=sharing"",""แผน!AT54"")"),12800)</f>
        <v>12800</v>
      </c>
      <c r="J224" s="181">
        <v>12800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IFERROR(__xludf.DUMMYFUNCTION("IMPORTRANGE(""https://docs.google.com/spreadsheets/d/1QqKyyYR6Q21VydFLVH3TRQUabQu_ym0Zz7PgGX0-kHA/edit?usp=sharing"",""แผน!AS54"")"),0)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20</v>
      </c>
      <c r="J226" s="330">
        <f t="shared" si="105"/>
        <v>20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89000</v>
      </c>
      <c r="M227" s="341"/>
      <c r="N227" s="341">
        <f t="shared" ref="N227:N231" si="107">N238+N249</f>
        <v>58049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20000</v>
      </c>
      <c r="M228" s="45"/>
      <c r="N228" s="45">
        <f t="shared" si="107"/>
        <v>4689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39000</v>
      </c>
      <c r="M229" s="45"/>
      <c r="N229" s="45">
        <f t="shared" si="107"/>
        <v>23360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20000</v>
      </c>
      <c r="M230" s="45"/>
      <c r="N230" s="45">
        <f t="shared" si="107"/>
        <v>20000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20</v>
      </c>
      <c r="J233" s="44">
        <f t="shared" si="108"/>
        <v>20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20</v>
      </c>
      <c r="J235" s="44">
        <f t="shared" si="109"/>
        <v>20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20</v>
      </c>
      <c r="J237" s="260">
        <f t="shared" si="111"/>
        <v>20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89000</v>
      </c>
      <c r="M238" s="154"/>
      <c r="N238" s="154">
        <f>N239+N240+N241+N242</f>
        <v>58049</v>
      </c>
      <c r="O238" s="154">
        <f ca="1">IF(L238&gt;0,N238*100/L238,0)</f>
        <v>65.223595505617979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IFERROR(__xludf.DUMMYFUNCTION("IMPORTRANGE(""https://docs.google.com/spreadsheets/d/1QqKyyYR6Q21VydFLVH3TRQUabQu_ym0Zz7PgGX0-kHA/edit?usp=sharing"",""แผน!AV54"")"),20000)</f>
        <v>20000</v>
      </c>
      <c r="M239" s="270"/>
      <c r="N239" s="808">
        <f>3909+780</f>
        <v>4689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IFERROR(__xludf.DUMMYFUNCTION("IMPORTRANGE(""https://docs.google.com/spreadsheets/d/1QqKyyYR6Q21VydFLVH3TRQUabQu_ym0Zz7PgGX0-kHA/edit?usp=sharing"",""แผน!AW54"")"),39000)</f>
        <v>39000</v>
      </c>
      <c r="M240" s="270"/>
      <c r="N240" s="808">
        <f>23360</f>
        <v>23360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IFERROR(__xludf.DUMMYFUNCTION("IMPORTRANGE(""https://docs.google.com/spreadsheets/d/1QqKyyYR6Q21VydFLVH3TRQUabQu_ym0Zz7PgGX0-kHA/edit?usp=sharing"",""แผน!AX54"")"),20000)</f>
        <v>20000</v>
      </c>
      <c r="M241" s="270"/>
      <c r="N241" s="808">
        <v>20000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IFERROR(__xludf.DUMMYFUNCTION("IMPORTRANGE(""https://docs.google.com/spreadsheets/d/1QqKyyYR6Q21VydFLVH3TRQUabQu_ym0Zz7PgGX0-kHA/edit?usp=sharing"",""แผน!AY54"")"),10000)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IFERROR(__xludf.DUMMYFUNCTION("IMPORTRANGE(""https://docs.google.com/spreadsheets/d/1QqKyyYR6Q21VydFLVH3TRQUabQu_ym0Zz7PgGX0-kHA/edit?usp=sharing"",""แผน!BE54"")"),20)</f>
        <v>20</v>
      </c>
      <c r="J244" s="181">
        <v>20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20</v>
      </c>
      <c r="J246" s="181">
        <v>20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IFERROR(__xludf.DUMMYFUNCTION("IMPORTRANGE(""https://docs.google.com/spreadsheets/d/1QqKyyYR6Q21VydFLVH3TRQUabQu_ym0Zz7PgGX0-kHA/edit?usp=sharing"",""แผน!AZ54"")"),0)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IFERROR(__xludf.DUMMYFUNCTION("IMPORTRANGE(""https://docs.google.com/spreadsheets/d/1QqKyyYR6Q21VydFLVH3TRQUabQu_ym0Zz7PgGX0-kHA/edit?usp=sharing"",""แผน!BA54"")"),0)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IFERROR(__xludf.DUMMYFUNCTION("IMPORTRANGE(""https://docs.google.com/spreadsheets/d/1QqKyyYR6Q21VydFLVH3TRQUabQu_ym0Zz7PgGX0-kHA/edit?usp=sharing"",""แผน!BB54"")"),0)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IFERROR(__xludf.DUMMYFUNCTION("IMPORTRANGE(""https://docs.google.com/spreadsheets/d/1QqKyyYR6Q21VydFLVH3TRQUabQu_ym0Zz7PgGX0-kHA/edit?usp=sharing"",""แผน!BC54"")"),0)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IFERROR(__xludf.DUMMYFUNCTION("IMPORTRANGE(""https://docs.google.com/spreadsheets/d/1MeEWN-I1oV_STSDYn1IFDPWt_1FKiwhDph83XaGc0o0/edit?usp=sharing"",""งบพรบ!CY54"")"),26900)</f>
        <v>26900</v>
      </c>
      <c r="M266" s="45">
        <f ca="1">IFERROR(__xludf.DUMMYFUNCTION("IMPORTRANGE(""https://docs.google.com/spreadsheets/d/1MeEWN-I1oV_STSDYn1IFDPWt_1FKiwhDph83XaGc0o0/edit?usp=sharing"",""งบพรบ!DD54"")"),26900)</f>
        <v>26900</v>
      </c>
      <c r="N266" s="45">
        <f ca="1">IFERROR(__xludf.DUMMYFUNCTION("IMPORTRANGE(""https://docs.google.com/spreadsheets/d/1MeEWN-I1oV_STSDYn1IFDPWt_1FKiwhDph83XaGc0o0/edit?usp=sharing"",""งบพรบ!DF54"")"),23900)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IFERROR(__xludf.DUMMYFUNCTION("IMPORTRANGE(""https://docs.google.com/spreadsheets/d/1MeEWN-I1oV_STSDYn1IFDPWt_1FKiwhDph83XaGc0o0/edit?usp=sharing"",""งบพรบ!DB54"")"),0)</f>
        <v>0</v>
      </c>
      <c r="M269" s="45">
        <f ca="1">IFERROR(__xludf.DUMMYFUNCTION("IMPORTRANGE(""https://docs.google.com/spreadsheets/d/1MeEWN-I1oV_STSDYn1IFDPWt_1FKiwhDph83XaGc0o0/edit?usp=sharing"",""งบพรบ!DE54"")"),0)</f>
        <v>0</v>
      </c>
      <c r="N269" s="45">
        <f ca="1">IFERROR(__xludf.DUMMYFUNCTION("IMPORTRANGE(""https://docs.google.com/spreadsheets/d/1MeEWN-I1oV_STSDYn1IFDPWt_1FKiwhDph83XaGc0o0/edit?usp=sharing"",""งบพรบ!DG54"")"),0)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IFERROR(__xludf.DUMMYFUNCTION("IMPORTRANGE(""https://docs.google.com/spreadsheets/d/1QqKyyYR6Q21VydFLVH3TRQUabQu_ym0Zz7PgGX0-kHA/edit?usp=sharing"",""แผน!EA54"")"),22)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IFERROR(__xludf.DUMMYFUNCTION("IMPORTRANGE(""https://docs.google.com/spreadsheets/d/1MeEWN-I1oV_STSDYn1IFDPWt_1FKiwhDph83XaGc0o0/edit?usp=sharing"",""งบพรบ!DI54"")"),0)</f>
        <v>0</v>
      </c>
      <c r="M282" s="45">
        <f ca="1">IFERROR(__xludf.DUMMYFUNCTION("IMPORTRANGE(""https://docs.google.com/spreadsheets/d/1MeEWN-I1oV_STSDYn1IFDPWt_1FKiwhDph83XaGc0o0/edit?usp=sharing"",""งบพรบ!DN54"")"),0)</f>
        <v>0</v>
      </c>
      <c r="N282" s="45">
        <f ca="1">IFERROR(__xludf.DUMMYFUNCTION("IMPORTRANGE(""https://docs.google.com/spreadsheets/d/1MeEWN-I1oV_STSDYn1IFDPWt_1FKiwhDph83XaGc0o0/edit?usp=sharing"",""งบพรบ!DP54"")"),0)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IFERROR(__xludf.DUMMYFUNCTION("IMPORTRANGE(""https://docs.google.com/spreadsheets/d/1MeEWN-I1oV_STSDYn1IFDPWt_1FKiwhDph83XaGc0o0/edit?usp=sharing"",""งบพรบ!DL54"")"),0)</f>
        <v>0</v>
      </c>
      <c r="M285" s="45">
        <f ca="1">IFERROR(__xludf.DUMMYFUNCTION("IMPORTRANGE(""https://docs.google.com/spreadsheets/d/1MeEWN-I1oV_STSDYn1IFDPWt_1FKiwhDph83XaGc0o0/edit?usp=sharing"",""งบพรบ!DO54"")"),0)</f>
        <v>0</v>
      </c>
      <c r="N285" s="45">
        <f ca="1">IFERROR(__xludf.DUMMYFUNCTION("IMPORTRANGE(""https://docs.google.com/spreadsheets/d/1MeEWN-I1oV_STSDYn1IFDPWt_1FKiwhDph83XaGc0o0/edit?usp=sharing"",""งบพรบ!DQ54"")"),0)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IFERROR(__xludf.DUMMYFUNCTION("IMPORTRANGE(""https://docs.google.com/spreadsheets/d/1QqKyyYR6Q21VydFLVH3TRQUabQu_ym0Zz7PgGX0-kHA/edit?usp=sharing"",""แผน!EC54"")"),0)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IFERROR(__xludf.DUMMYFUNCTION("IMPORTRANGE(""https://docs.google.com/spreadsheets/d/1QqKyyYR6Q21VydFLVH3TRQUabQu_ym0Zz7PgGX0-kHA/edit?usp=sharing"",""แผน!EB54"")"),0)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IFERROR(__xludf.DUMMYFUNCTION("IMPORTRANGE(""https://docs.google.com/spreadsheets/d/1QqKyyYR6Q21VydFLVH3TRQUabQu_ym0Zz7PgGX0-kHA/edit?usp=sharing"",""แผน!EB54"")"),0)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IFERROR(__xludf.DUMMYFUNCTION("IMPORTRANGE(""https://docs.google.com/spreadsheets/d/1QqKyyYR6Q21VydFLVH3TRQUabQu_ym0Zz7PgGX0-kHA/edit?usp=sharing"",""แผน!EB54"")"),0)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IFERROR(__xludf.DUMMYFUNCTION("IMPORTRANGE(""https://docs.google.com/spreadsheets/d/1QqKyyYR6Q21VydFLVH3TRQUabQu_ym0Zz7PgGX0-kHA/edit?usp=sharing"",""แผน!EB54"")"),0)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IFERROR(__xludf.DUMMYFUNCTION("IMPORTRANGE(""https://docs.google.com/spreadsheets/d/1QqKyyYR6Q21VydFLVH3TRQUabQu_ym0Zz7PgGX0-kHA/edit?usp=sharing"",""แผน!EB54"")"),0)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IFERROR(__xludf.DUMMYFUNCTION("IMPORTRANGE(""https://docs.google.com/spreadsheets/d/1MeEWN-I1oV_STSDYn1IFDPWt_1FKiwhDph83XaGc0o0/edit?usp=sharing"",""งบพรบ!DS54"")"),0)</f>
        <v>0</v>
      </c>
      <c r="M303" s="45">
        <f ca="1">IFERROR(__xludf.DUMMYFUNCTION("IMPORTRANGE(""https://docs.google.com/spreadsheets/d/1MeEWN-I1oV_STSDYn1IFDPWt_1FKiwhDph83XaGc0o0/edit?usp=sharing"",""งบพรบ!DX54"")"),0)</f>
        <v>0</v>
      </c>
      <c r="N303" s="45">
        <f ca="1">IFERROR(__xludf.DUMMYFUNCTION("IMPORTRANGE(""https://docs.google.com/spreadsheets/d/1MeEWN-I1oV_STSDYn1IFDPWt_1FKiwhDph83XaGc0o0/edit?usp=sharing"",""งบพรบ!DZ54"")"),0)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IFERROR(__xludf.DUMMYFUNCTION("IMPORTRANGE(""https://docs.google.com/spreadsheets/d/1MeEWN-I1oV_STSDYn1IFDPWt_1FKiwhDph83XaGc0o0/edit?usp=sharing"",""งบพรบ!DV54"")"),0)</f>
        <v>0</v>
      </c>
      <c r="M306" s="45">
        <f ca="1">IFERROR(__xludf.DUMMYFUNCTION("IMPORTRANGE(""https://docs.google.com/spreadsheets/d/1MeEWN-I1oV_STSDYn1IFDPWt_1FKiwhDph83XaGc0o0/edit?usp=sharing"",""งบพรบ!DY54"")"),0)</f>
        <v>0</v>
      </c>
      <c r="N306" s="45">
        <f ca="1">IFERROR(__xludf.DUMMYFUNCTION("IMPORTRANGE(""https://docs.google.com/spreadsheets/d/1MeEWN-I1oV_STSDYn1IFDPWt_1FKiwhDph83XaGc0o0/edit?usp=sharing"",""งบพรบ!EA54"")"),0)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IFERROR(__xludf.DUMMYFUNCTION("IMPORTRANGE(""https://docs.google.com/spreadsheets/d/1QqKyyYR6Q21VydFLVH3TRQUabQu_ym0Zz7PgGX0-kHA/edit?usp=sharing"",""แผน!ED54"")"),0)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IFERROR(__xludf.DUMMYFUNCTION("IMPORTRANGE(""https://docs.google.com/spreadsheets/d/1QqKyyYR6Q21VydFLVH3TRQUabQu_ym0Zz7PgGX0-kHA/edit?usp=sharing"",""แผน!ED54"")"),0)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IFERROR(__xludf.DUMMYFUNCTION("IMPORTRANGE(""https://docs.google.com/spreadsheets/d/1QqKyyYR6Q21VydFLVH3TRQUabQu_ym0Zz7PgGX0-kHA/edit?usp=sharing"",""แผน!ED54"")"),0)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IFERROR(__xludf.DUMMYFUNCTION("IMPORTRANGE(""https://docs.google.com/spreadsheets/d/1QqKyyYR6Q21VydFLVH3TRQUabQu_ym0Zz7PgGX0-kHA/edit?usp=sharing"",""แผน!EE54"")"),0)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IFERROR(__xludf.DUMMYFUNCTION("IMPORTRANGE(""https://docs.google.com/spreadsheets/d/1MeEWN-I1oV_STSDYn1IFDPWt_1FKiwhDph83XaGc0o0/edit?usp=sharing"",""งบพรบ!EC54"")"),0)</f>
        <v>0</v>
      </c>
      <c r="M320" s="45">
        <f ca="1">IFERROR(__xludf.DUMMYFUNCTION("IMPORTRANGE(""https://docs.google.com/spreadsheets/d/1MeEWN-I1oV_STSDYn1IFDPWt_1FKiwhDph83XaGc0o0/edit?usp=sharing"",""งบพรบ!EH54"")"),0)</f>
        <v>0</v>
      </c>
      <c r="N320" s="45">
        <f ca="1">IFERROR(__xludf.DUMMYFUNCTION("IMPORTRANGE(""https://docs.google.com/spreadsheets/d/1MeEWN-I1oV_STSDYn1IFDPWt_1FKiwhDph83XaGc0o0/edit?usp=sharing"",""งบพรบ!EJ54"")"),0)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IFERROR(__xludf.DUMMYFUNCTION("IMPORTRANGE(""https://docs.google.com/spreadsheets/d/1MeEWN-I1oV_STSDYn1IFDPWt_1FKiwhDph83XaGc0o0/edit?usp=sharing"",""งบพรบ!EF54"")"),0)</f>
        <v>0</v>
      </c>
      <c r="M323" s="45">
        <f ca="1">IFERROR(__xludf.DUMMYFUNCTION("IMPORTRANGE(""https://docs.google.com/spreadsheets/d/1MeEWN-I1oV_STSDYn1IFDPWt_1FKiwhDph83XaGc0o0/edit?usp=sharing"",""งบพรบ!EI54"")"),0)</f>
        <v>0</v>
      </c>
      <c r="N323" s="45">
        <f ca="1">IFERROR(__xludf.DUMMYFUNCTION("IMPORTRANGE(""https://docs.google.com/spreadsheets/d/1MeEWN-I1oV_STSDYn1IFDPWt_1FKiwhDph83XaGc0o0/edit?usp=sharing"",""งบพรบ!EK54"")"),0)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IFERROR(__xludf.DUMMYFUNCTION("IMPORTRANGE(""https://docs.google.com/spreadsheets/d/1QqKyyYR6Q21VydFLVH3TRQUabQu_ym0Zz7PgGX0-kHA/edit?usp=sharing"",""แผน!EG54"")"),1600)</f>
        <v>1600</v>
      </c>
      <c r="J327" s="421">
        <f ca="1">J338+J341+J342+J343</f>
        <v>2286</v>
      </c>
      <c r="K327" s="422">
        <f ca="1">IF(I327&gt;0,J327*100/I327,0)</f>
        <v>142.875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170000</v>
      </c>
      <c r="M328" s="154">
        <f t="shared" ca="1" si="149"/>
        <v>172500</v>
      </c>
      <c r="N328" s="154">
        <f t="shared" ca="1" si="149"/>
        <v>144779</v>
      </c>
      <c r="O328" s="154">
        <f t="shared" ref="O328:O336" ca="1" si="150">IF(L328&gt;0,N328*100/L328,0)</f>
        <v>85.164117647058831</v>
      </c>
      <c r="P328" s="154">
        <f t="shared" ref="P328:P336" ca="1" si="151">IF(M328&gt;0,N328*100/M328,0)</f>
        <v>83.929855072463766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170000</v>
      </c>
      <c r="M330" s="45">
        <f t="shared" ca="1" si="152"/>
        <v>172500</v>
      </c>
      <c r="N330" s="45">
        <f t="shared" ca="1" si="152"/>
        <v>144779</v>
      </c>
      <c r="O330" s="45">
        <f t="shared" ca="1" si="150"/>
        <v>85.164117647058831</v>
      </c>
      <c r="P330" s="45">
        <f t="shared" ca="1" si="151"/>
        <v>83.929855072463766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172500</v>
      </c>
      <c r="N331" s="38">
        <f t="shared" ca="1" si="153"/>
        <v>144779</v>
      </c>
      <c r="O331" s="38">
        <f t="shared" ca="1" si="150"/>
        <v>85.164117647058831</v>
      </c>
      <c r="P331" s="38">
        <f t="shared" ca="1" si="151"/>
        <v>83.929855072463766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IFERROR(__xludf.DUMMYFUNCTION("IMPORTRANGE(""https://docs.google.com/spreadsheets/d/1MeEWN-I1oV_STSDYn1IFDPWt_1FKiwhDph83XaGc0o0/edit?usp=sharing"",""งบพรบ!EM54"")"),170000)</f>
        <v>170000</v>
      </c>
      <c r="M333" s="45">
        <f ca="1">IFERROR(__xludf.DUMMYFUNCTION("IMPORTRANGE(""https://docs.google.com/spreadsheets/d/1MeEWN-I1oV_STSDYn1IFDPWt_1FKiwhDph83XaGc0o0/edit?usp=sharing"",""งบพรบ!ER54"")"),172500)</f>
        <v>172500</v>
      </c>
      <c r="N333" s="45">
        <f ca="1">IFERROR(__xludf.DUMMYFUNCTION("IMPORTRANGE(""https://docs.google.com/spreadsheets/d/1MeEWN-I1oV_STSDYn1IFDPWt_1FKiwhDph83XaGc0o0/edit?usp=sharing"",""งบพรบ!ET54"")"),144779)</f>
        <v>144779</v>
      </c>
      <c r="O333" s="45">
        <f t="shared" ca="1" si="150"/>
        <v>85.164117647058831</v>
      </c>
      <c r="P333" s="45">
        <f t="shared" ca="1" si="151"/>
        <v>83.929855072463766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IFERROR(__xludf.DUMMYFUNCTION("IMPORTRANGE(""https://docs.google.com/spreadsheets/d/1MeEWN-I1oV_STSDYn1IFDPWt_1FKiwhDph83XaGc0o0/edit?usp=sharing"",""งบพรบ!EP54"")"),0)</f>
        <v>0</v>
      </c>
      <c r="M336" s="45">
        <f ca="1">IFERROR(__xludf.DUMMYFUNCTION("IMPORTRANGE(""https://docs.google.com/spreadsheets/d/1MeEWN-I1oV_STSDYn1IFDPWt_1FKiwhDph83XaGc0o0/edit?usp=sharing"",""งบพรบ!ES54"")"),0)</f>
        <v>0</v>
      </c>
      <c r="N336" s="45">
        <f ca="1">IFERROR(__xludf.DUMMYFUNCTION("IMPORTRANGE(""https://docs.google.com/spreadsheets/d/1MeEWN-I1oV_STSDYn1IFDPWt_1FKiwhDph83XaGc0o0/edit?usp=sharing"",""งบพรบ!EU54"")"),0)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IFERROR(__xludf.DUMMYFUNCTION("IMPORTRANGE(""https://docs.google.com/spreadsheets/d/1QqKyyYR6Q21VydFLVH3TRQUabQu_ym0Zz7PgGX0-kHA/edit?usp=sharing"",""แผน!EG54"")"),1600)</f>
        <v>1600</v>
      </c>
      <c r="J338" s="37">
        <f ca="1">IFERROR(__xludf.DUMMYFUNCTION("IMPORTRANGE(""https://docs.google.com/spreadsheets/d/1kVcqe37tkHyjCSG3S0O1AXqVkqjo8mSIZil3BcpIysc/edit?usp=sharing"",""ศูนย์!D54"")"),2008)</f>
        <v>2008</v>
      </c>
      <c r="K338" s="38">
        <f ca="1">IF(I338&gt;0,J338*100/I338,0)</f>
        <v>125.5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IFERROR(__xludf.DUMMYFUNCTION("IMPORTRANGE(""https://docs.google.com/spreadsheets/d/1QqKyyYR6Q21VydFLVH3TRQUabQu_ym0Zz7PgGX0-kHA/edit?usp=sharing"",""แผน!EH54"")"),6)</f>
        <v>6</v>
      </c>
      <c r="J340" s="37">
        <f ca="1">IFERROR(__xludf.DUMMYFUNCTION("IMPORTRANGE(""https://docs.google.com/spreadsheets/d/1kVcqe37tkHyjCSG3S0O1AXqVkqjo8mSIZil3BcpIysc/edit?usp=sharing"",""ศูนย์!E54"")"),4)</f>
        <v>4</v>
      </c>
      <c r="K340" s="38">
        <f ca="1">IF(I340&gt;0,J340*100/I340,0)</f>
        <v>66.666666666666671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IFERROR(__xludf.DUMMYFUNCTION("IMPORTRANGE(""https://docs.google.com/spreadsheets/d/1kVcqe37tkHyjCSG3S0O1AXqVkqjo8mSIZil3BcpIysc/edit?usp=sharing"",""ศูนย์!F54"")"),80)</f>
        <v>80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IFERROR(__xludf.DUMMYFUNCTION("IMPORTRANGE(""https://docs.google.com/spreadsheets/d/1kVcqe37tkHyjCSG3S0O1AXqVkqjo8mSIZil3BcpIysc/edit?usp=sharing"",""ศูนย์!G54"")"),198)</f>
        <v>198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IFERROR(__xludf.DUMMYFUNCTION("IMPORTRANGE(""https://docs.google.com/spreadsheets/d/1kVcqe37tkHyjCSG3S0O1AXqVkqjo8mSIZil3BcpIysc/edit?usp=sharing"",""ศูนย์!H54"")"),0)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979550</v>
      </c>
      <c r="M345" s="154">
        <f t="shared" ca="1" si="155"/>
        <v>1029550</v>
      </c>
      <c r="N345" s="154">
        <f t="shared" ca="1" si="155"/>
        <v>810797</v>
      </c>
      <c r="O345" s="154">
        <f t="shared" ref="O345:O353" ca="1" si="156">IF(L345&gt;0,N345*100/L345,0)</f>
        <v>82.772395487723955</v>
      </c>
      <c r="P345" s="154">
        <f t="shared" ref="P345:P353" ca="1" si="157">IF(M345&gt;0,N345*100/M345,0)</f>
        <v>78.752561798844155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979550</v>
      </c>
      <c r="M347" s="45">
        <f t="shared" ca="1" si="158"/>
        <v>1029550</v>
      </c>
      <c r="N347" s="45">
        <f t="shared" ca="1" si="158"/>
        <v>810797</v>
      </c>
      <c r="O347" s="45">
        <f t="shared" ca="1" si="156"/>
        <v>82.772395487723955</v>
      </c>
      <c r="P347" s="45">
        <f t="shared" ca="1" si="157"/>
        <v>78.752561798844155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815350</v>
      </c>
      <c r="M348" s="38">
        <f t="shared" ca="1" si="159"/>
        <v>865350</v>
      </c>
      <c r="N348" s="38">
        <f t="shared" ca="1" si="159"/>
        <v>646597</v>
      </c>
      <c r="O348" s="38">
        <f t="shared" ca="1" si="156"/>
        <v>79.302998712209487</v>
      </c>
      <c r="P348" s="38">
        <f t="shared" ca="1" si="157"/>
        <v>74.720864390131155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IFERROR(__xludf.DUMMYFUNCTION("IMPORTRANGE(""https://docs.google.com/spreadsheets/d/1MeEWN-I1oV_STSDYn1IFDPWt_1FKiwhDph83XaGc0o0/edit?usp=sharing"",""งบพรบ!EW54"")"),815350)</f>
        <v>815350</v>
      </c>
      <c r="M350" s="45">
        <f ca="1">IFERROR(__xludf.DUMMYFUNCTION("IMPORTRANGE(""https://docs.google.com/spreadsheets/d/1MeEWN-I1oV_STSDYn1IFDPWt_1FKiwhDph83XaGc0o0/edit?usp=sharing"",""งบพรบ!FB54"")"),865350)</f>
        <v>865350</v>
      </c>
      <c r="N350" s="45">
        <f ca="1">IFERROR(__xludf.DUMMYFUNCTION("IMPORTRANGE(""https://docs.google.com/spreadsheets/d/1MeEWN-I1oV_STSDYn1IFDPWt_1FKiwhDph83XaGc0o0/edit?usp=sharing"",""งบพรบ!FD54"")"),646597)</f>
        <v>646597</v>
      </c>
      <c r="O350" s="45">
        <f t="shared" ca="1" si="156"/>
        <v>79.302998712209487</v>
      </c>
      <c r="P350" s="45">
        <f t="shared" ca="1" si="157"/>
        <v>74.720864390131155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164200</v>
      </c>
      <c r="M351" s="38">
        <f t="shared" ca="1" si="160"/>
        <v>164200</v>
      </c>
      <c r="N351" s="38">
        <f t="shared" ca="1" si="160"/>
        <v>164200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IFERROR(__xludf.DUMMYFUNCTION("IMPORTRANGE(""https://docs.google.com/spreadsheets/d/1MeEWN-I1oV_STSDYn1IFDPWt_1FKiwhDph83XaGc0o0/edit?usp=sharing"",""งบพรบ!EZ54"")"),164200)</f>
        <v>164200</v>
      </c>
      <c r="M353" s="45">
        <f ca="1">IFERROR(__xludf.DUMMYFUNCTION("IMPORTRANGE(""https://docs.google.com/spreadsheets/d/1MeEWN-I1oV_STSDYn1IFDPWt_1FKiwhDph83XaGc0o0/edit?usp=sharing"",""งบพรบ!FC54"")"),164200)</f>
        <v>164200</v>
      </c>
      <c r="N353" s="45">
        <f ca="1">IFERROR(__xludf.DUMMYFUNCTION("IMPORTRANGE(""https://docs.google.com/spreadsheets/d/1MeEWN-I1oV_STSDYn1IFDPWt_1FKiwhDph83XaGc0o0/edit?usp=sharing"",""งบพรบ!FE54"")"),164200)</f>
        <v>164200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IFERROR(__xludf.DUMMYFUNCTION("IMPORTRANGE(""https://docs.google.com/spreadsheets/d/1QqKyyYR6Q21VydFLVH3TRQUabQu_ym0Zz7PgGX0-kHA/edit?usp=sharing"",""แผน!EP54"")"),255)</f>
        <v>255</v>
      </c>
      <c r="J355" s="438">
        <f ca="1">J362</f>
        <v>82</v>
      </c>
      <c r="K355" s="439">
        <f ca="1">IF(I355&gt;0,J355*100/I355,0)</f>
        <v>32.156862745098039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IFERROR(__xludf.DUMMYFUNCTION("IMPORTRANGE(""https://docs.google.com/spreadsheets/d/1XWAQStnk-4SwqDmLtmXYiTMKHgktTP8We1SCoS47DrQ/edit?usp=sharing"",""จัดที่ดิน!W54"")"),224)</f>
        <v>224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IFERROR(__xludf.DUMMYFUNCTION("IMPORTRANGE(""https://docs.google.com/spreadsheets/d/1QqKyyYR6Q21VydFLVH3TRQUabQu_ym0Zz7PgGX0-kHA/edit?usp=sharing"",""แผน!EO54"")"),3700)</f>
        <v>3700</v>
      </c>
      <c r="J359" s="37">
        <f ca="1">IFERROR(__xludf.DUMMYFUNCTION("IMPORTRANGE(""https://docs.google.com/spreadsheets/d/1XWAQStnk-4SwqDmLtmXYiTMKHgktTP8We1SCoS47DrQ/edit?usp=sharing"",""จัดที่ดิน!X54"")"),1988.82)</f>
        <v>1988.82</v>
      </c>
      <c r="K359" s="38">
        <f t="shared" ca="1" si="161"/>
        <v>53.751891891891894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IFERROR(__xludf.DUMMYFUNCTION("IMPORTRANGE(""https://docs.google.com/spreadsheets/d/1QqKyyYR6Q21VydFLVH3TRQUabQu_ym0Zz7PgGX0-kHA/edit?usp=sharing"",""แผน!EP54"")"),255)</f>
        <v>255</v>
      </c>
      <c r="J360" s="37">
        <f ca="1">IFERROR(__xludf.DUMMYFUNCTION("IMPORTRANGE(""https://docs.google.com/spreadsheets/d/1XWAQStnk-4SwqDmLtmXYiTMKHgktTP8We1SCoS47DrQ/edit?usp=sharing"",""จัดที่ดิน!Y54"")"),85)</f>
        <v>85</v>
      </c>
      <c r="K360" s="38">
        <f t="shared" ca="1" si="161"/>
        <v>33.333333333333336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IFERROR(__xludf.DUMMYFUNCTION("IMPORTRANGE(""https://docs.google.com/spreadsheets/d/1XWAQStnk-4SwqDmLtmXYiTMKHgktTP8We1SCoS47DrQ/edit?usp=sharing"",""จัดที่ดิน!Z54"")"),764.49)</f>
        <v>764.49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IFERROR(__xludf.DUMMYFUNCTION("IMPORTRANGE(""https://docs.google.com/spreadsheets/d/1QqKyyYR6Q21VydFLVH3TRQUabQu_ym0Zz7PgGX0-kHA/edit?usp=sharing"",""แผน!EP54"")"),255)</f>
        <v>255</v>
      </c>
      <c r="J362" s="37">
        <f ca="1">IFERROR(__xludf.DUMMYFUNCTION("IMPORTRANGE(""https://docs.google.com/spreadsheets/d/1XWAQStnk-4SwqDmLtmXYiTMKHgktTP8We1SCoS47DrQ/edit?usp=sharing"",""จัดที่ดิน!AA54"")"),82)</f>
        <v>82</v>
      </c>
      <c r="K362" s="38">
        <f t="shared" ca="1" si="161"/>
        <v>32.156862745098039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IFERROR(__xludf.DUMMYFUNCTION("IMPORTRANGE(""https://docs.google.com/spreadsheets/d/1XWAQStnk-4SwqDmLtmXYiTMKHgktTP8We1SCoS47DrQ/edit?usp=sharing"",""จัดที่ดิน!AB54"")"),674.39)</f>
        <v>674.39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355</v>
      </c>
      <c r="J364" s="452">
        <f t="shared" ca="1" si="162"/>
        <v>192</v>
      </c>
      <c r="K364" s="453">
        <f t="shared" ca="1" si="161"/>
        <v>54.08450704225352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IFERROR(__xludf.DUMMYFUNCTION("IMPORTRANGE(""https://docs.google.com/spreadsheets/d/1QqKyyYR6Q21VydFLVH3TRQUabQu_ym0Zz7PgGX0-kHA/edit?usp=sharing"",""แผน!EJ54"")"),205)</f>
        <v>205</v>
      </c>
      <c r="J365" s="462">
        <f ca="1">J372</f>
        <v>49</v>
      </c>
      <c r="K365" s="463">
        <f t="shared" ca="1" si="161"/>
        <v>23.902439024390244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IFERROR(__xludf.DUMMYFUNCTION("IMPORTRANGE(""https://docs.google.com/spreadsheets/d/1XWAQStnk-4SwqDmLtmXYiTMKHgktTP8We1SCoS47DrQ/edit?usp=sharing"",""จัดที่ดิน!E54"")"),78)</f>
        <v>78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IFERROR(__xludf.DUMMYFUNCTION("IMPORTRANGE(""https://docs.google.com/spreadsheets/d/1QqKyyYR6Q21VydFLVH3TRQUabQu_ym0Zz7PgGX0-kHA/edit?usp=sharing"",""แผน!EI54"")"),2700)</f>
        <v>2700</v>
      </c>
      <c r="J369" s="37">
        <f ca="1">IFERROR(__xludf.DUMMYFUNCTION("IMPORTRANGE(""https://docs.google.com/spreadsheets/d/1XWAQStnk-4SwqDmLtmXYiTMKHgktTP8We1SCoS47DrQ/edit?usp=sharing"",""จัดที่ดิน!F54"")"),835.45)</f>
        <v>835.45</v>
      </c>
      <c r="K369" s="38">
        <f t="shared" ca="1" si="163"/>
        <v>30.942592592592593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IFERROR(__xludf.DUMMYFUNCTION("IMPORTRANGE(""https://docs.google.com/spreadsheets/d/1QqKyyYR6Q21VydFLVH3TRQUabQu_ym0Zz7PgGX0-kHA/edit?usp=sharing"",""แผน!EJ54"")"),205)</f>
        <v>205</v>
      </c>
      <c r="J370" s="37">
        <f ca="1">IFERROR(__xludf.DUMMYFUNCTION("IMPORTRANGE(""https://docs.google.com/spreadsheets/d/1XWAQStnk-4SwqDmLtmXYiTMKHgktTP8We1SCoS47DrQ/edit?usp=sharing"",""จัดที่ดิน!G54"")"),52)</f>
        <v>52</v>
      </c>
      <c r="K370" s="38">
        <f t="shared" ca="1" si="163"/>
        <v>25.365853658536587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IFERROR(__xludf.DUMMYFUNCTION("IMPORTRANGE(""https://docs.google.com/spreadsheets/d/1XWAQStnk-4SwqDmLtmXYiTMKHgktTP8We1SCoS47DrQ/edit?usp=sharing"",""จัดที่ดิน!H54"")"),542.78)</f>
        <v>542.78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IFERROR(__xludf.DUMMYFUNCTION("IMPORTRANGE(""https://docs.google.com/spreadsheets/d/1QqKyyYR6Q21VydFLVH3TRQUabQu_ym0Zz7PgGX0-kHA/edit?usp=sharing"",""แผน!EJ54"")"),205)</f>
        <v>205</v>
      </c>
      <c r="J372" s="37">
        <f ca="1">IFERROR(__xludf.DUMMYFUNCTION("IMPORTRANGE(""https://docs.google.com/spreadsheets/d/1XWAQStnk-4SwqDmLtmXYiTMKHgktTP8We1SCoS47DrQ/edit?usp=sharing"",""จัดที่ดิน!I54"")"),49)</f>
        <v>49</v>
      </c>
      <c r="K372" s="38">
        <f t="shared" ca="1" si="163"/>
        <v>23.902439024390244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IFERROR(__xludf.DUMMYFUNCTION("IMPORTRANGE(""https://docs.google.com/spreadsheets/d/1XWAQStnk-4SwqDmLtmXYiTMKHgktTP8We1SCoS47DrQ/edit?usp=sharing"",""จัดที่ดิน!J54"")"),452.68)</f>
        <v>452.68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IFERROR(__xludf.DUMMYFUNCTION("IMPORTRANGE(""https://docs.google.com/spreadsheets/d/1QqKyyYR6Q21VydFLVH3TRQUabQu_ym0Zz7PgGX0-kHA/edit?usp=sharing"",""แผน!EU54"")"),150)</f>
        <v>150</v>
      </c>
      <c r="J374" s="462">
        <f ca="1">J381</f>
        <v>143</v>
      </c>
      <c r="K374" s="463">
        <f t="shared" ca="1" si="163"/>
        <v>95.333333333333329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IFERROR(__xludf.DUMMYFUNCTION("IMPORTRANGE(""https://docs.google.com/spreadsheets/d/1XWAQStnk-4SwqDmLtmXYiTMKHgktTP8We1SCoS47DrQ/edit?usp=sharing"",""จัดที่ดิน!AH54"")"),146)</f>
        <v>146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IFERROR(__xludf.DUMMYFUNCTION("IMPORTRANGE(""https://docs.google.com/spreadsheets/d/1QqKyyYR6Q21VydFLVH3TRQUabQu_ym0Zz7PgGX0-kHA/edit?usp=sharing"",""แผน!ET54"")"),1000)</f>
        <v>1000</v>
      </c>
      <c r="J378" s="37">
        <f ca="1">IFERROR(__xludf.DUMMYFUNCTION("IMPORTRANGE(""https://docs.google.com/spreadsheets/d/1XWAQStnk-4SwqDmLtmXYiTMKHgktTP8We1SCoS47DrQ/edit?usp=sharing"",""จัดที่ดิน!AI54"")"),1153.37)</f>
        <v>1153.3699999999999</v>
      </c>
      <c r="K378" s="38">
        <f t="shared" ca="1" si="164"/>
        <v>115.33699999999999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IFERROR(__xludf.DUMMYFUNCTION("IMPORTRANGE(""https://docs.google.com/spreadsheets/d/1QqKyyYR6Q21VydFLVH3TRQUabQu_ym0Zz7PgGX0-kHA/edit?usp=sharing"",""แผน!EU54"")"),150)</f>
        <v>150</v>
      </c>
      <c r="J379" s="37">
        <f ca="1">IFERROR(__xludf.DUMMYFUNCTION("IMPORTRANGE(""https://docs.google.com/spreadsheets/d/1XWAQStnk-4SwqDmLtmXYiTMKHgktTP8We1SCoS47DrQ/edit?usp=sharing"",""จัดที่ดิน!AJ54"")"),143)</f>
        <v>143</v>
      </c>
      <c r="K379" s="38">
        <f t="shared" ca="1" si="164"/>
        <v>95.333333333333329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IFERROR(__xludf.DUMMYFUNCTION("IMPORTRANGE(""https://docs.google.com/spreadsheets/d/1XWAQStnk-4SwqDmLtmXYiTMKHgktTP8We1SCoS47DrQ/edit?usp=sharing"",""จัดที่ดิน!AK54"")"),1653.44)</f>
        <v>1653.44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IFERROR(__xludf.DUMMYFUNCTION("IMPORTRANGE(""https://docs.google.com/spreadsheets/d/1QqKyyYR6Q21VydFLVH3TRQUabQu_ym0Zz7PgGX0-kHA/edit?usp=sharing"",""แผน!EU54"")"),150)</f>
        <v>150</v>
      </c>
      <c r="J381" s="37">
        <f ca="1">IFERROR(__xludf.DUMMYFUNCTION("IMPORTRANGE(""https://docs.google.com/spreadsheets/d/1XWAQStnk-4SwqDmLtmXYiTMKHgktTP8We1SCoS47DrQ/edit?usp=sharing"",""จัดที่ดิน!AL54"")"),143)</f>
        <v>143</v>
      </c>
      <c r="K381" s="38">
        <f t="shared" ca="1" si="164"/>
        <v>95.333333333333329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IFERROR(__xludf.DUMMYFUNCTION("IMPORTRANGE(""https://docs.google.com/spreadsheets/d/1XWAQStnk-4SwqDmLtmXYiTMKHgktTP8We1SCoS47DrQ/edit?usp=sharing"",""จัดที่ดิน!AM54"")"),1653.44)</f>
        <v>1653.44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IFERROR(__xludf.DUMMYFUNCTION("IMPORTRANGE(""https://docs.google.com/spreadsheets/d/1QqKyyYR6Q21VydFLVH3TRQUabQu_ym0Zz7PgGX0-kHA/edit?usp=sharing"",""แผน!EW54"")"),10)</f>
        <v>10</v>
      </c>
      <c r="J385" s="365">
        <f ca="1">IFERROR(__xludf.DUMMYFUNCTION("IMPORTRANGE(""https://docs.google.com/spreadsheets/d/1XWAQStnk-4SwqDmLtmXYiTMKHgktTP8We1SCoS47DrQ/edit?usp=sharing"",""จัดที่ดิน!AP54"")"),7)</f>
        <v>7</v>
      </c>
      <c r="K385" s="472">
        <f ca="1">IF(I385&gt;0,J385*100/I385,0)</f>
        <v>70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IFERROR(__xludf.DUMMYFUNCTION("IMPORTRANGE(""https://docs.google.com/spreadsheets/d/1MeEWN-I1oV_STSDYn1IFDPWt_1FKiwhDph83XaGc0o0/edit?usp=sharing"",""งบพรบ!FG54"")"),0)</f>
        <v>0</v>
      </c>
      <c r="M394" s="45">
        <f ca="1">IFERROR(__xludf.DUMMYFUNCTION("IMPORTRANGE(""https://docs.google.com/spreadsheets/d/1MeEWN-I1oV_STSDYn1IFDPWt_1FKiwhDph83XaGc0o0/edit?usp=sharing"",""งบพรบ!FL54"")"),0)</f>
        <v>0</v>
      </c>
      <c r="N394" s="45">
        <f ca="1">IFERROR(__xludf.DUMMYFUNCTION("IMPORTRANGE(""https://docs.google.com/spreadsheets/d/1MeEWN-I1oV_STSDYn1IFDPWt_1FKiwhDph83XaGc0o0/edit?usp=sharing"",""งบพรบ!FN54"")"),0)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IFERROR(__xludf.DUMMYFUNCTION("IMPORTRANGE(""https://docs.google.com/spreadsheets/d/1MeEWN-I1oV_STSDYn1IFDPWt_1FKiwhDph83XaGc0o0/edit?usp=sharing"",""งบพรบ!FJ54"")"),0)</f>
        <v>0</v>
      </c>
      <c r="M397" s="45">
        <f ca="1">IFERROR(__xludf.DUMMYFUNCTION("IMPORTRANGE(""https://docs.google.com/spreadsheets/d/1MeEWN-I1oV_STSDYn1IFDPWt_1FKiwhDph83XaGc0o0/edit?usp=sharing"",""งบพรบ!FM54"")"),0)</f>
        <v>0</v>
      </c>
      <c r="N397" s="45">
        <f ca="1">IFERROR(__xludf.DUMMYFUNCTION("IMPORTRANGE(""https://docs.google.com/spreadsheets/d/1MeEWN-I1oV_STSDYn1IFDPWt_1FKiwhDph83XaGc0o0/edit?usp=sharing"",""งบพรบ!FO54"")"),0)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IFERROR(__xludf.DUMMYFUNCTION("IMPORTRANGE(""https://docs.google.com/spreadsheets/d/1MeEWN-I1oV_STSDYn1IFDPWt_1FKiwhDph83XaGc0o0/edit?usp=sharing"",""งบพรบ!FQ54"")"),0)</f>
        <v>0</v>
      </c>
      <c r="M407" s="45">
        <f ca="1">IFERROR(__xludf.DUMMYFUNCTION("IMPORTRANGE(""https://docs.google.com/spreadsheets/d/1MeEWN-I1oV_STSDYn1IFDPWt_1FKiwhDph83XaGc0o0/edit?usp=sharing"",""งบพรบ!FV54"")"),0)</f>
        <v>0</v>
      </c>
      <c r="N407" s="45">
        <f ca="1">IFERROR(__xludf.DUMMYFUNCTION("IMPORTRANGE(""https://docs.google.com/spreadsheets/d/1MeEWN-I1oV_STSDYn1IFDPWt_1FKiwhDph83XaGc0o0/edit?usp=sharing"",""งบพรบ!FX54"")"),0)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IFERROR(__xludf.DUMMYFUNCTION("IMPORTRANGE(""https://docs.google.com/spreadsheets/d/1MeEWN-I1oV_STSDYn1IFDPWt_1FKiwhDph83XaGc0o0/edit?usp=sharing"",""งบพรบ!FT54"")"),0)</f>
        <v>0</v>
      </c>
      <c r="M410" s="45">
        <f ca="1">IFERROR(__xludf.DUMMYFUNCTION("IMPORTRANGE(""https://docs.google.com/spreadsheets/d/1MeEWN-I1oV_STSDYn1IFDPWt_1FKiwhDph83XaGc0o0/edit?usp=sharing"",""งบพรบ!FW54"")"),0)</f>
        <v>0</v>
      </c>
      <c r="N410" s="45">
        <f ca="1">IFERROR(__xludf.DUMMYFUNCTION("IMPORTRANGE(""https://docs.google.com/spreadsheets/d/1MeEWN-I1oV_STSDYn1IFDPWt_1FKiwhDph83XaGc0o0/edit?usp=sharing"",""งบพรบ!FY54"")"),0)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809833</v>
      </c>
      <c r="M414" s="518">
        <f t="shared" ca="1" si="181"/>
        <v>809833</v>
      </c>
      <c r="N414" s="518">
        <f t="shared" si="181"/>
        <v>622106</v>
      </c>
      <c r="O414" s="518">
        <f ca="1">IF(L414&gt;0,N414*100/L414,0)</f>
        <v>76.819047877772334</v>
      </c>
      <c r="P414" s="518">
        <f ca="1">IF(M414&gt;0,N414*100/M414,0)</f>
        <v>76.819047877772334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52710</v>
      </c>
      <c r="O419" s="154">
        <f t="shared" ref="O419:O424" ca="1" si="185">IF(L419&gt;0,N419*100/L419,0)</f>
        <v>67.009916094584284</v>
      </c>
      <c r="P419" s="154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52710</v>
      </c>
      <c r="O421" s="45">
        <f t="shared" ca="1" si="185"/>
        <v>67.009916094584284</v>
      </c>
      <c r="P421" s="45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52710</v>
      </c>
      <c r="O422" s="38">
        <f t="shared" ca="1" si="185"/>
        <v>67.009916094584284</v>
      </c>
      <c r="P422" s="38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IFERROR(__xludf.DUMMYFUNCTION("IMPORTRANGE(""https://docs.google.com/spreadsheets/d/1QqKyyYR6Q21VydFLVH3TRQUabQu_ym0Zz7PgGX0-kHA/edit?usp=sharing"",""แผน!EY54"")"),78660)</f>
        <v>78660</v>
      </c>
      <c r="M424" s="45">
        <f ca="1">L424</f>
        <v>78660</v>
      </c>
      <c r="N424" s="45">
        <f>N425+N426+N427+N428</f>
        <v>52710</v>
      </c>
      <c r="O424" s="45">
        <f t="shared" ca="1" si="185"/>
        <v>67.009916094584284</v>
      </c>
      <c r="P424" s="45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50610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2100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IFERROR(__xludf.DUMMYFUNCTION("IMPORTRANGE(""https://docs.google.com/spreadsheets/d/1QqKyyYR6Q21VydFLVH3TRQUabQu_ym0Zz7PgGX0-kHA/edit?usp=sharing"",""แผน!FC54"")"),20)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IFERROR(__xludf.DUMMYFUNCTION("IMPORTRANGE(""https://docs.google.com/spreadsheets/d/1QqKyyYR6Q21VydFLVH3TRQUabQu_ym0Zz7PgGX0-kHA/edit?usp=sharing"",""แผน!FD54"")"),0)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IFERROR(__xludf.DUMMYFUNCTION("IMPORTRANGE(""https://docs.google.com/spreadsheets/d/1QqKyyYR6Q21VydFLVH3TRQUabQu_ym0Zz7PgGX0-kHA/edit?usp=sharing"",""แผน!FE54"")"),0)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IFERROR(__xludf.DUMMYFUNCTION("IMPORTRANGE(""https://docs.google.com/spreadsheets/d/1QqKyyYR6Q21VydFLVH3TRQUabQu_ym0Zz7PgGX0-kHA/edit?usp=sharing"",""แผน!FF54"")"),20)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IFERROR(__xludf.DUMMYFUNCTION("IMPORTRANGE(""https://docs.google.com/spreadsheets/d/1QqKyyYR6Q21VydFLVH3TRQUabQu_ym0Zz7PgGX0-kHA/edit?usp=sharing"",""แผน!FG54"")"),1)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IFERROR(__xludf.DUMMYFUNCTION("IMPORTRANGE(""https://docs.google.com/spreadsheets/d/1QqKyyYR6Q21VydFLVH3TRQUabQu_ym0Zz7PgGX0-kHA/edit?usp=sharing"",""แผน!FH54"")"),0)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IFERROR(__xludf.DUMMYFUNCTION("IMPORTRANGE(""https://docs.google.com/spreadsheets/d/1QqKyyYR6Q21VydFLVH3TRQUabQu_ym0Zz7PgGX0-kHA/edit?usp=sharing"",""แผน!FJ54"")"),0)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IFERROR(__xludf.DUMMYFUNCTION("IMPORTRANGE(""https://docs.google.com/spreadsheets/d/1QqKyyYR6Q21VydFLVH3TRQUabQu_ym0Zz7PgGX0-kHA/edit?usp=sharing"",""แผน!FM54"")"),0)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IFERROR(__xludf.DUMMYFUNCTION("IMPORTRANGE(""https://docs.google.com/spreadsheets/d/1QqKyyYR6Q21VydFLVH3TRQUabQu_ym0Zz7PgGX0-kHA/edit?usp=sharing"",""แผน!FN54"")"),0)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IFERROR(__xludf.DUMMYFUNCTION("IMPORTRANGE(""https://docs.google.com/spreadsheets/d/1QqKyyYR6Q21VydFLVH3TRQUabQu_ym0Zz7PgGX0-kHA/edit?usp=sharing"",""แผน!FO54"")"),0)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IFERROR(__xludf.DUMMYFUNCTION("IMPORTRANGE(""https://docs.google.com/spreadsheets/d/1QqKyyYR6Q21VydFLVH3TRQUabQu_ym0Zz7PgGX0-kHA/edit?usp=sharing"",""แผน!FO54"")"),0)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IFERROR(__xludf.DUMMYFUNCTION("IMPORTRANGE(""https://docs.google.com/spreadsheets/d/1QqKyyYR6Q21VydFLVH3TRQUabQu_ym0Zz7PgGX0-kHA/edit?usp=sharing"",""แผน!FN54"")"),0)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IFERROR(__xludf.DUMMYFUNCTION("IMPORTRANGE(""https://docs.google.com/spreadsheets/d/1QqKyyYR6Q21VydFLVH3TRQUabQu_ym0Zz7PgGX0-kHA/edit?usp=sharing"",""แผน!FX54"")"),51)</f>
        <v>51</v>
      </c>
      <c r="J465" s="552">
        <f>J485+J489+J492</f>
        <v>67</v>
      </c>
      <c r="K465" s="553">
        <f t="shared" ref="K465:K466" ca="1" si="205">IF(I465&gt;0,J465*100/I465,0)</f>
        <v>131.37254901960785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IFERROR(__xludf.DUMMYFUNCTION("IMPORTRANGE(""https://docs.google.com/spreadsheets/d/1QqKyyYR6Q21VydFLVH3TRQUabQu_ym0Zz7PgGX0-kHA/edit?usp=sharing"",""แผน!FW54"")"),500)</f>
        <v>500</v>
      </c>
      <c r="J466" s="533">
        <f>J495+J498</f>
        <v>500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410113</v>
      </c>
      <c r="M467" s="191">
        <f t="shared" ca="1" si="206"/>
        <v>410113</v>
      </c>
      <c r="N467" s="191">
        <f t="shared" si="206"/>
        <v>403620</v>
      </c>
      <c r="O467" s="191">
        <f t="shared" ref="O467:O472" ca="1" si="207">IF(L467&gt;0,N467*100/L467,0)</f>
        <v>98.416777814894914</v>
      </c>
      <c r="P467" s="191">
        <f t="shared" ref="P467:P472" ca="1" si="208">IF(M467&gt;0,N467*100/M467,0)</f>
        <v>98.416777814894914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410113</v>
      </c>
      <c r="M469" s="45">
        <f t="shared" ca="1" si="209"/>
        <v>410113</v>
      </c>
      <c r="N469" s="45">
        <f t="shared" si="209"/>
        <v>403620</v>
      </c>
      <c r="O469" s="45">
        <f t="shared" ca="1" si="207"/>
        <v>98.416777814894914</v>
      </c>
      <c r="P469" s="45">
        <f t="shared" ca="1" si="208"/>
        <v>98.416777814894914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410113</v>
      </c>
      <c r="M470" s="38">
        <f t="shared" ca="1" si="210"/>
        <v>410113</v>
      </c>
      <c r="N470" s="38">
        <f t="shared" si="210"/>
        <v>403620</v>
      </c>
      <c r="O470" s="38">
        <f t="shared" ca="1" si="207"/>
        <v>98.416777814894914</v>
      </c>
      <c r="P470" s="38">
        <f t="shared" ca="1" si="208"/>
        <v>98.416777814894914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IFERROR(__xludf.DUMMYFUNCTION("IMPORTRANGE(""https://docs.google.com/spreadsheets/d/1QqKyyYR6Q21VydFLVH3TRQUabQu_ym0Zz7PgGX0-kHA/edit?usp=sharing"",""แผน!FS54"")"),410113)</f>
        <v>410113</v>
      </c>
      <c r="M472" s="45">
        <f ca="1">L472</f>
        <v>410113</v>
      </c>
      <c r="N472" s="45">
        <f>N473+N474+N475+N476</f>
        <v>403620</v>
      </c>
      <c r="O472" s="45">
        <f t="shared" ca="1" si="207"/>
        <v>98.416777814894914</v>
      </c>
      <c r="P472" s="45">
        <f t="shared" ca="1" si="208"/>
        <v>98.416777814894914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65090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314000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>6360+1070+17100</f>
        <v>24530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IFERROR(__xludf.DUMMYFUNCTION("IMPORTRANGE(""https://docs.google.com/spreadsheets/d/1QqKyyYR6Q21VydFLVH3TRQUabQu_ym0Zz7PgGX0-kHA/edit?usp=sharing"",""แผน!FV54"")"),0)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IFERROR(__xludf.DUMMYFUNCTION("IMPORTRANGE(""https://docs.google.com/spreadsheets/d/1QqKyyYR6Q21VydFLVH3TRQUabQu_ym0Zz7PgGX0-kHA/edit?usp=sharing"",""แผน!FY54"")"),450)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IFERROR(__xludf.DUMMYFUNCTION("IMPORTRANGE(""https://docs.google.com/spreadsheets/d/1QqKyyYR6Q21VydFLVH3TRQUabQu_ym0Zz7PgGX0-kHA/edit?usp=sharing"",""แผน!FZ54"")"),45)</f>
        <v>45</v>
      </c>
      <c r="J485" s="181">
        <v>61</v>
      </c>
      <c r="K485" s="38">
        <f ca="1">IF(I485&gt;0,J485*100/I485,0)</f>
        <v>135.55555555555554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IFERROR(__xludf.DUMMYFUNCTION("IMPORTRANGE(""https://docs.google.com/spreadsheets/d/1QqKyyYR6Q21VydFLVH3TRQUabQu_ym0Zz7PgGX0-kHA/edit?usp=sharing"",""แผน!GA54"")"),50)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IFERROR(__xludf.DUMMYFUNCTION("IMPORTRANGE(""https://docs.google.com/spreadsheets/d/1QqKyyYR6Q21VydFLVH3TRQUabQu_ym0Zz7PgGX0-kHA/edit?usp=sharing"",""แผน!GB54"")"),5)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IFERROR(__xludf.DUMMYFUNCTION("IMPORTRANGE(""https://docs.google.com/spreadsheets/d/1QqKyyYR6Q21VydFLVH3TRQUabQu_ym0Zz7PgGX0-kHA/edit?usp=sharing"",""แผน!GC54"")"),1)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IFERROR(__xludf.DUMMYFUNCTION("IMPORTRANGE(""https://docs.google.com/spreadsheets/d/1QqKyyYR6Q21VydFLVH3TRQUabQu_ym0Zz7PgGX0-kHA/edit?usp=sharing"",""แผน!FY54"")"),450)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IFERROR(__xludf.DUMMYFUNCTION("IMPORTRANGE(""https://docs.google.com/spreadsheets/d/1QqKyyYR6Q21VydFLVH3TRQUabQu_ym0Zz7PgGX0-kHA/edit?usp=sharing"",""แผน!GA54"")"),50)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IFERROR(__xludf.DUMMYFUNCTION("IMPORTRANGE(""https://docs.google.com/spreadsheets/d/1QqKyyYR6Q21VydFLVH3TRQUabQu_ym0Zz7PgGX0-kHA/edit?usp=sharing"",""แผน!GQ54"")"),0)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IFERROR(__xludf.DUMMYFUNCTION("IMPORTRANGE(""https://docs.google.com/spreadsheets/d/1QqKyyYR6Q21VydFLVH3TRQUabQu_ym0Zz7PgGX0-kHA/edit?usp=sharing"",""แผน!GT54"")"),0)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IFERROR(__xludf.DUMMYFUNCTION("IMPORTRANGE(""https://docs.google.com/spreadsheets/d/1QqKyyYR6Q21VydFLVH3TRQUabQu_ym0Zz7PgGX0-kHA/edit?usp=sharing"",""แผน!GU54"")"),0)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IFERROR(__xludf.DUMMYFUNCTION("IMPORTRANGE(""https://docs.google.com/spreadsheets/d/1QqKyyYR6Q21VydFLVH3TRQUabQu_ym0Zz7PgGX0-kHA/edit?usp=sharing"",""แผน!GV54"")"),0)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IFERROR(__xludf.DUMMYFUNCTION("IMPORTRANGE(""https://docs.google.com/spreadsheets/d/1QqKyyYR6Q21VydFLVH3TRQUabQu_ym0Zz7PgGX0-kHA/edit?usp=sharing"",""แผน!GW54"")"),0)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IFERROR(__xludf.DUMMYFUNCTION("IMPORTRANGE(""https://docs.google.com/spreadsheets/d/1QqKyyYR6Q21VydFLVH3TRQUabQu_ym0Zz7PgGX0-kHA/edit?usp=sharing"",""แผน!GX54"")"),0)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IFERROR(__xludf.DUMMYFUNCTION("IMPORTRANGE(""https://docs.google.com/spreadsheets/d/1QqKyyYR6Q21VydFLVH3TRQUabQu_ym0Zz7PgGX0-kHA/edit?usp=sharing"",""แผน!GY54"")"),0)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IFERROR(__xludf.DUMMYFUNCTION("IMPORTRANGE(""https://docs.google.com/spreadsheets/d/1QqKyyYR6Q21VydFLVH3TRQUabQu_ym0Zz7PgGX0-kHA/edit?usp=sharing"",""แผน!GZ54"")"),0)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284300</v>
      </c>
      <c r="M544" s="154">
        <f t="shared" ca="1" si="236"/>
        <v>284300</v>
      </c>
      <c r="N544" s="154">
        <f t="shared" si="236"/>
        <v>157942</v>
      </c>
      <c r="O544" s="154">
        <f t="shared" ref="O544:O549" ca="1" si="237">IF(L544&gt;0,N544*100/L544,0)</f>
        <v>55.554695743932463</v>
      </c>
      <c r="P544" s="154">
        <f t="shared" ref="P544:P549" ca="1" si="238">IF(M544&gt;0,N544*100/M544,0)</f>
        <v>55.554695743932463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284300</v>
      </c>
      <c r="M546" s="45">
        <f t="shared" ca="1" si="240"/>
        <v>284300</v>
      </c>
      <c r="N546" s="45">
        <f t="shared" si="240"/>
        <v>157942</v>
      </c>
      <c r="O546" s="45">
        <f t="shared" ca="1" si="237"/>
        <v>55.554695743932463</v>
      </c>
      <c r="P546" s="45">
        <f t="shared" ca="1" si="238"/>
        <v>55.554695743932463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284300</v>
      </c>
      <c r="M547" s="38">
        <f t="shared" ca="1" si="241"/>
        <v>284300</v>
      </c>
      <c r="N547" s="38">
        <f t="shared" si="241"/>
        <v>157942</v>
      </c>
      <c r="O547" s="38">
        <f t="shared" ca="1" si="237"/>
        <v>55.554695743932463</v>
      </c>
      <c r="P547" s="38">
        <f t="shared" ca="1" si="238"/>
        <v>55.554695743932463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IFERROR(__xludf.DUMMYFUNCTION("IMPORTRANGE(""https://docs.google.com/spreadsheets/d/1QqKyyYR6Q21VydFLVH3TRQUabQu_ym0Zz7PgGX0-kHA/edit?usp=sharing"",""แผน!HB54"")"),284300)</f>
        <v>284300</v>
      </c>
      <c r="M549" s="45">
        <f ca="1">L549</f>
        <v>284300</v>
      </c>
      <c r="N549" s="45">
        <f>N550+N551+N552+N553+N554</f>
        <v>157942</v>
      </c>
      <c r="O549" s="45">
        <f t="shared" ca="1" si="237"/>
        <v>55.554695743932463</v>
      </c>
      <c r="P549" s="45">
        <f t="shared" ca="1" si="238"/>
        <v>55.554695743932463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92302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>19240+2660+6650+17821+18800+469</f>
        <v>65640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IFERROR(__xludf.DUMMYFUNCTION("IMPORTRANGE(""https://docs.google.com/spreadsheets/d/1QqKyyYR6Q21VydFLVH3TRQUabQu_ym0Zz7PgGX0-kHA/edit?usp=sharing"",""แผน!HF54"")"),0)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IFERROR(__xludf.DUMMYFUNCTION("IMPORTRANGE(""https://docs.google.com/spreadsheets/d/1QqKyyYR6Q21VydFLVH3TRQUabQu_ym0Zz7PgGX0-kHA/edit?usp=sharing"",""แผน!HH54"")"),0)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IFERROR(__xludf.DUMMYFUNCTION("IMPORTRANGE(""https://docs.google.com/spreadsheets/d/1QqKyyYR6Q21VydFLVH3TRQUabQu_ym0Zz7PgGX0-kHA/edit?usp=sharing"",""แผน!HG54"")"),0)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IFERROR(__xludf.DUMMYFUNCTION("IMPORTRANGE(""https://docs.google.com/spreadsheets/d/1QqKyyYR6Q21VydFLVH3TRQUabQu_ym0Zz7PgGX0-kHA/edit?usp=sharing"",""แผน!HH54"")"),0)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IFERROR(__xludf.DUMMYFUNCTION("IMPORTRANGE(""https://docs.google.com/spreadsheets/d/1QqKyyYR6Q21VydFLVH3TRQUabQu_ym0Zz7PgGX0-kHA/edit?usp=sharing"",""แผน!HG54"")"),0)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IFERROR(__xludf.DUMMYFUNCTION("IMPORTRANGE(""https://docs.google.com/spreadsheets/d/1QqKyyYR6Q21VydFLVH3TRQUabQu_ym0Zz7PgGX0-kHA/edit?usp=sharing"",""แผน!HH54"")"),0)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IFERROR(__xludf.DUMMYFUNCTION("IMPORTRANGE(""https://docs.google.com/spreadsheets/d/1QqKyyYR6Q21VydFLVH3TRQUabQu_ym0Zz7PgGX0-kHA/edit?usp=sharing"",""แผน!HG54"")"),0)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3092.89</v>
      </c>
      <c r="J592" s="627">
        <f t="shared" si="253"/>
        <v>3054</v>
      </c>
      <c r="K592" s="628">
        <f t="shared" ref="K592:K594" ca="1" si="254">IF(I592&gt;0,J592*100/I592,0)</f>
        <v>98.742599963141274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IFERROR(__xludf.DUMMYFUNCTION("IMPORTRANGE(""https://docs.google.com/spreadsheets/d/1QqKyyYR6Q21VydFLVH3TRQUabQu_ym0Zz7PgGX0-kHA/edit?usp=sharing"",""แผน!HJ54"")"),3092.89)</f>
        <v>3092.89</v>
      </c>
      <c r="J593" s="189">
        <f t="shared" ref="J593:J594" si="255">J595+J603+J609</f>
        <v>3054</v>
      </c>
      <c r="K593" s="390">
        <f t="shared" ca="1" si="254"/>
        <v>98.742599963141274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IFERROR(__xludf.DUMMYFUNCTION("IMPORTRANGE(""https://docs.google.com/spreadsheets/d/1QqKyyYR6Q21VydFLVH3TRQUabQu_ym0Zz7PgGX0-kHA/edit?usp=sharing"",""แผน!HI54"")"),241)</f>
        <v>241</v>
      </c>
      <c r="J594" s="189">
        <f t="shared" si="255"/>
        <v>241</v>
      </c>
      <c r="K594" s="390">
        <f t="shared" ca="1" si="254"/>
        <v>100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2940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231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2940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231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103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9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103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9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11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1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IFERROR(__xludf.DUMMYFUNCTION("IMPORTRANGE(""https://docs.google.com/spreadsheets/d/1QqKyyYR6Q21VydFLVH3TRQUabQu_ym0Zz7PgGX0-kHA/edit?usp=sharing"",""แผน!HL54"")"),0)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IFERROR(__xludf.DUMMYFUNCTION("IMPORTRANGE(""https://docs.google.com/spreadsheets/d/1QqKyyYR6Q21VydFLVH3TRQUabQu_ym0Zz7PgGX0-kHA/edit?usp=sharing"",""แผน!HK54"")"),0)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IFERROR(__xludf.DUMMYFUNCTION("IMPORTRANGE(""https://docs.google.com/spreadsheets/d/1QqKyyYR6Q21VydFLVH3TRQUabQu_ym0Zz7PgGX0-kHA/edit?usp=sharing"",""แผน!HN54"")"),0)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IFERROR(__xludf.DUMMYFUNCTION("IMPORTRANGE(""https://docs.google.com/spreadsheets/d/1QqKyyYR6Q21VydFLVH3TRQUabQu_ym0Zz7PgGX0-kHA/edit?usp=sharing"",""แผน!HQ54"")"),0)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IFERROR(__xludf.DUMMYFUNCTION("IMPORTRANGE(""https://docs.google.com/spreadsheets/d/1QqKyyYR6Q21VydFLVH3TRQUabQu_ym0Zz7PgGX0-kHA/edit?usp=sharing"",""แผน!HR54"")"),0)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IFERROR(__xludf.DUMMYFUNCTION("IMPORTRANGE(""https://docs.google.com/spreadsheets/d/1QqKyyYR6Q21VydFLVH3TRQUabQu_ym0Zz7PgGX0-kHA/edit?usp=sharing"",""แผน!HR54"")"),0)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IFERROR(__xludf.DUMMYFUNCTION("IMPORTRANGE(""https://docs.google.com/spreadsheets/d/1XWAQStnk-4SwqDmLtmXYiTMKHgktTP8We1SCoS47DrQ/edit?usp=sharing"",""จัดที่ดิน!AS54"")"),3)</f>
        <v>3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IFERROR(__xludf.DUMMYFUNCTION("IMPORTRANGE(""https://docs.google.com/spreadsheets/d/1XWAQStnk-4SwqDmLtmXYiTMKHgktTP8We1SCoS47DrQ/edit?usp=sharing"",""จัดที่ดิน!AT54"")"),1.41)</f>
        <v>1.41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IFERROR(__xludf.DUMMYFUNCTION("IMPORTRANGE(""https://docs.google.com/spreadsheets/d/1QqKyyYR6Q21VydFLVH3TRQUabQu_ym0Zz7PgGX0-kHA/edit?usp=sharing"",""แผน!HS54"")"),0)</f>
        <v>0</v>
      </c>
      <c r="J647" s="37">
        <f ca="1">IFERROR(__xludf.DUMMYFUNCTION("IMPORTRANGE(""https://docs.google.com/spreadsheets/d/1XWAQStnk-4SwqDmLtmXYiTMKHgktTP8We1SCoS47DrQ/edit?usp=sharing"",""จัดที่ดิน!AU54"")"),2)</f>
        <v>2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IFERROR(__xludf.DUMMYFUNCTION("IMPORTRANGE(""https://docs.google.com/spreadsheets/d/1XWAQStnk-4SwqDmLtmXYiTMKHgktTP8We1SCoS47DrQ/edit?usp=sharing"",""จัดที่ดิน!AV54"")"),15.66)</f>
        <v>15.66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IFERROR(__xludf.DUMMYFUNCTION("IMPORTRANGE(""https://docs.google.com/spreadsheets/d/1QqKyyYR6Q21VydFLVH3TRQUabQu_ym0Zz7PgGX0-kHA/edit?usp=sharing"",""แผน!HS54"")"),0)</f>
        <v>0</v>
      </c>
      <c r="J649" s="37">
        <f ca="1">IFERROR(__xludf.DUMMYFUNCTION("IMPORTRANGE(""https://docs.google.com/spreadsheets/d/1XWAQStnk-4SwqDmLtmXYiTMKHgktTP8We1SCoS47DrQ/edit?usp=sharing"",""จัดที่ดิน!AW54"")"),1)</f>
        <v>1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IFERROR(__xludf.DUMMYFUNCTION("IMPORTRANGE(""https://docs.google.com/spreadsheets/d/1XWAQStnk-4SwqDmLtmXYiTMKHgktTP8We1SCoS47DrQ/edit?usp=sharing"",""จัดที่ดิน!AX54"")"),14.61)</f>
        <v>14.61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IFERROR(__xludf.DUMMYFUNCTION("IMPORTRANGE(""https://docs.google.com/spreadsheets/d/1QqKyyYR6Q21VydFLVH3TRQUabQu_ym0Zz7PgGX0-kHA/edit?usp=sharing"",""แผน!HS54"")"),0)</f>
        <v>0</v>
      </c>
      <c r="J651" s="37">
        <f ca="1">IFERROR(__xludf.DUMMYFUNCTION("IMPORTRANGE(""https://docs.google.com/spreadsheets/d/1XWAQStnk-4SwqDmLtmXYiTMKHgktTP8We1SCoS47DrQ/edit?usp=sharing"",""จัดที่ดิน!AY54"")"),0)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IFERROR(__xludf.DUMMYFUNCTION("IMPORTRANGE(""https://docs.google.com/spreadsheets/d/1XWAQStnk-4SwqDmLtmXYiTMKHgktTP8We1SCoS47DrQ/edit?usp=sharing"",""จัดที่ดิน!AZ54"")"),0)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4269</v>
      </c>
      <c r="O655" s="191">
        <f t="shared" ref="O655:O660" ca="1" si="274">IF(L655&gt;0,N655*100/L655,0)</f>
        <v>45.414893617021278</v>
      </c>
      <c r="P655" s="191">
        <f t="shared" ref="P655:P660" ca="1" si="275">IF(M655&gt;0,N655*100/M655,0)</f>
        <v>45.414893617021278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4269</v>
      </c>
      <c r="O657" s="45">
        <f t="shared" ca="1" si="274"/>
        <v>45.414893617021278</v>
      </c>
      <c r="P657" s="45">
        <f t="shared" ca="1" si="275"/>
        <v>45.414893617021278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4269</v>
      </c>
      <c r="O658" s="38">
        <f t="shared" ca="1" si="274"/>
        <v>45.414893617021278</v>
      </c>
      <c r="P658" s="38">
        <f t="shared" ca="1" si="275"/>
        <v>45.414893617021278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IFERROR(__xludf.DUMMYFUNCTION("IMPORTRANGE(""https://docs.google.com/spreadsheets/d/1QqKyyYR6Q21VydFLVH3TRQUabQu_ym0Zz7PgGX0-kHA/edit?usp=sharing"",""แผน!HV54"")"),9400)</f>
        <v>9400</v>
      </c>
      <c r="M660" s="45">
        <f ca="1">L660</f>
        <v>9400</v>
      </c>
      <c r="N660" s="45">
        <f>N661+N662+N663+N664</f>
        <v>4269</v>
      </c>
      <c r="O660" s="45">
        <f t="shared" ca="1" si="274"/>
        <v>45.414893617021278</v>
      </c>
      <c r="P660" s="45">
        <f t="shared" ca="1" si="275"/>
        <v>45.414893617021278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4269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IFERROR(__xludf.DUMMYFUNCTION("IMPORTRANGE(""https://docs.google.com/spreadsheets/d/1QqKyyYR6Q21VydFLVH3TRQUabQu_ym0Zz7PgGX0-kHA/edit?usp=sharing"",""แผน!IA54"")"),50)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IFERROR(__xludf.DUMMYFUNCTION("IMPORTRANGE(""https://docs.google.com/spreadsheets/d/1QqKyyYR6Q21VydFLVH3TRQUabQu_ym0Zz7PgGX0-kHA/edit?usp=sharing"",""แผน!HZ54"")"),4)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IFERROR(__xludf.DUMMYFUNCTION("IMPORTRANGE(""https://docs.google.com/spreadsheets/d/1QqKyyYR6Q21VydFLVH3TRQUabQu_ym0Zz7PgGX0-kHA/edit?usp=sharing"",""แผน!HZ54"")"),4)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181</v>
      </c>
      <c r="K672" s="38">
        <f t="shared" ref="K672:K675" ca="1" si="281">IF(I$669&gt;0,J672*100/I$669,0)</f>
        <v>362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27360</v>
      </c>
      <c r="M685" s="191">
        <f t="shared" ca="1" si="282"/>
        <v>27360</v>
      </c>
      <c r="N685" s="191">
        <f t="shared" si="282"/>
        <v>3565</v>
      </c>
      <c r="O685" s="191">
        <f t="shared" ref="O685:O688" ca="1" si="283">IF(L685&gt;0,N685*100/L685,0)</f>
        <v>13.029970760233919</v>
      </c>
      <c r="P685" s="191">
        <f t="shared" ref="P685:P688" ca="1" si="284">IF(M685&gt;0,N685*100/M685,0)</f>
        <v>13.029970760233919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27360</v>
      </c>
      <c r="M687" s="45">
        <f t="shared" ca="1" si="285"/>
        <v>27360</v>
      </c>
      <c r="N687" s="45">
        <f t="shared" si="285"/>
        <v>3565</v>
      </c>
      <c r="O687" s="45">
        <f t="shared" ca="1" si="283"/>
        <v>13.029970760233919</v>
      </c>
      <c r="P687" s="45">
        <f t="shared" ca="1" si="284"/>
        <v>13.029970760233919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27360</v>
      </c>
      <c r="M688" s="38">
        <f t="shared" ca="1" si="286"/>
        <v>27360</v>
      </c>
      <c r="N688" s="38">
        <f t="shared" si="286"/>
        <v>3565</v>
      </c>
      <c r="O688" s="38">
        <f t="shared" ca="1" si="283"/>
        <v>13.029970760233919</v>
      </c>
      <c r="P688" s="38">
        <f t="shared" ca="1" si="284"/>
        <v>13.029970760233919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IFERROR(__xludf.DUMMYFUNCTION("IMPORTRANGE(""https://docs.google.com/spreadsheets/d/1QqKyyYR6Q21VydFLVH3TRQUabQu_ym0Zz7PgGX0-kHA/edit?usp=sharing"",""แผน!HW54"")"),27360)</f>
        <v>27360</v>
      </c>
      <c r="M690" s="45">
        <f ca="1">L690</f>
        <v>27360</v>
      </c>
      <c r="N690" s="45">
        <f>N691+N692+N693+N694</f>
        <v>3565</v>
      </c>
      <c r="O690" s="45">
        <f ca="1">IF(L690&gt;0,N690*100/L690,0)</f>
        <v>13.029970760233919</v>
      </c>
      <c r="P690" s="45">
        <f ca="1">IF(M690&gt;0,N690*100/M690,0)</f>
        <v>13.029970760233919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3565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IFERROR(__xludf.DUMMYFUNCTION("IMPORTRANGE(""https://docs.google.com/spreadsheets/d/1QqKyyYR6Q21VydFLVH3TRQUabQu_ym0Zz7PgGX0-kHA/edit?usp=sharing"",""แผน!IC54"")"),10)</f>
        <v>10</v>
      </c>
      <c r="J699" s="37">
        <f ca="1">IFERROR(__xludf.DUMMYFUNCTION("IMPORTRANGE(""https://docs.google.com/spreadsheets/d/1XWAQStnk-4SwqDmLtmXYiTMKHgktTP8We1SCoS47DrQ/edit?usp=sharing"",""จัดที่ดิน!BB54"")"),0)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IFERROR(__xludf.DUMMYFUNCTION("IMPORTRANGE(""https://docs.google.com/spreadsheets/d/1QqKyyYR6Q21VydFLVH3TRQUabQu_ym0Zz7PgGX0-kHA/edit?usp=sharing"",""แผน!ID54"")"),2)</f>
        <v>2</v>
      </c>
      <c r="J700" s="37">
        <f ca="1">IFERROR(__xludf.DUMMYFUNCTION("IMPORTRANGE(""https://docs.google.com/spreadsheets/d/1XWAQStnk-4SwqDmLtmXYiTMKHgktTP8We1SCoS47DrQ/edit?usp=sharing"",""จัดที่ดิน!BD54"")"),0)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IFERROR(__xludf.DUMMYFUNCTION("IMPORTRANGE(""https://docs.google.com/spreadsheets/d/1QqKyyYR6Q21VydFLVH3TRQUabQu_ym0Zz7PgGX0-kHA/edit?usp=sharing"",""แผน!IE54"")"),0)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IFERROR(__xludf.DUMMYFUNCTION("IMPORTRANGE(""https://docs.google.com/spreadsheets/d/1QqKyyYR6Q21VydFLVH3TRQUabQu_ym0Zz7PgGX0-kHA/edit?usp=sharing"",""แผน!IF54"")"),0)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IFERROR(__xludf.DUMMYFUNCTION("IMPORTRANGE(""https://docs.google.com/spreadsheets/d/1QqKyyYR6Q21VydFLVH3TRQUabQu_ym0Zz7PgGX0-kHA/edit?usp=sharing"",""แผน!IG54"")"),0)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IFERROR(__xludf.DUMMYFUNCTION("IMPORTRANGE(""https://docs.google.com/spreadsheets/d/1QqKyyYR6Q21VydFLVH3TRQUabQu_ym0Zz7PgGX0-kHA/edit?usp=sharing"",""แผน!IH54"")"),1245)</f>
        <v>1245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IFERROR(__xludf.DUMMYFUNCTION("IMPORTRANGE(""https://docs.google.com/spreadsheets/d/1XWAQStnk-4SwqDmLtmXYiTMKHgktTP8We1SCoS47DrQ/edit?usp=sharing"",""จัดที่ดิน!BF54"")"),0)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IFERROR(__xludf.DUMMYFUNCTION("IMPORTRANGE(""https://docs.google.com/spreadsheets/d/1XWAQStnk-4SwqDmLtmXYiTMKHgktTP8We1SCoS47DrQ/edit?usp=sharing"",""จัดที่ดิน!BG54"")"),0)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IFERROR(__xludf.DUMMYFUNCTION("IMPORTRANGE(""https://docs.google.com/spreadsheets/d/1QqKyyYR6Q21VydFLVH3TRQUabQu_ym0Zz7PgGX0-kHA/edit?usp=sharing"",""แผน!II54"")"),0)</f>
        <v>0</v>
      </c>
      <c r="J720" s="37">
        <f ca="1">IFERROR(__xludf.DUMMYFUNCTION("IMPORTRANGE(""https://docs.google.com/spreadsheets/d/1XWAQStnk-4SwqDmLtmXYiTMKHgktTP8We1SCoS47DrQ/edit?usp=sharing"",""จัดที่ดิน!BH54"")"),0)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IFERROR(__xludf.DUMMYFUNCTION("IMPORTRANGE(""https://docs.google.com/spreadsheets/d/1QqKyyYR6Q21VydFLVH3TRQUabQu_ym0Zz7PgGX0-kHA/edit?usp=sharing"",""แผน!IJ54"")"),1)</f>
        <v>1</v>
      </c>
      <c r="J721" s="190">
        <f ca="1">J723+J726</f>
        <v>1</v>
      </c>
      <c r="K721" s="191">
        <f t="shared" ca="1" si="291"/>
        <v>100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IFERROR(__xludf.DUMMYFUNCTION("IMPORTRANGE(""https://docs.google.com/spreadsheets/d/1QqKyyYR6Q21VydFLVH3TRQUabQu_ym0Zz7PgGX0-kHA/edit?usp=sharing"",""แผน!IK54"")"),9)</f>
        <v>9</v>
      </c>
      <c r="J722" s="190">
        <f ca="1">J725+J728</f>
        <v>9.57</v>
      </c>
      <c r="K722" s="191">
        <f t="shared" ca="1" si="291"/>
        <v>106.33333333333333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IFERROR(__xludf.DUMMYFUNCTION("IMPORTRANGE(""https://docs.google.com/spreadsheets/d/1QqKyyYR6Q21VydFLVH3TRQUabQu_ym0Zz7PgGX0-kHA/edit?usp=sharing"",""แผน!IL54"")"),1)</f>
        <v>1</v>
      </c>
      <c r="J723" s="37">
        <f ca="1">IFERROR(__xludf.DUMMYFUNCTION("IMPORTRANGE(""https://docs.google.com/spreadsheets/d/1XWAQStnk-4SwqDmLtmXYiTMKHgktTP8We1SCoS47DrQ/edit?usp=sharing"",""จัดที่ดิน!BM54"")"),1)</f>
        <v>1</v>
      </c>
      <c r="K723" s="38">
        <f t="shared" ca="1" si="291"/>
        <v>100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IFERROR(__xludf.DUMMYFUNCTION("IMPORTRANGE(""https://docs.google.com/spreadsheets/d/1XWAQStnk-4SwqDmLtmXYiTMKHgktTP8We1SCoS47DrQ/edit?usp=sharing"",""จัดที่ดิน!BN54"")"),1)</f>
        <v>1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IFERROR(__xludf.DUMMYFUNCTION("IMPORTRANGE(""https://docs.google.com/spreadsheets/d/1QqKyyYR6Q21VydFLVH3TRQUabQu_ym0Zz7PgGX0-kHA/edit?usp=sharing"",""แผน!IM54"")"),9)</f>
        <v>9</v>
      </c>
      <c r="J725" s="37">
        <f ca="1">IFERROR(__xludf.DUMMYFUNCTION("IMPORTRANGE(""https://docs.google.com/spreadsheets/d/1XWAQStnk-4SwqDmLtmXYiTMKHgktTP8We1SCoS47DrQ/edit?usp=sharing"",""จัดที่ดิน!BO54"")"),9.57)</f>
        <v>9.57</v>
      </c>
      <c r="K725" s="38">
        <f t="shared" ref="K725:K726" ca="1" si="292">IF(I725&gt;0,J725*100/I725,0)</f>
        <v>106.33333333333333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IFERROR(__xludf.DUMMYFUNCTION("IMPORTRANGE(""https://docs.google.com/spreadsheets/d/1QqKyyYR6Q21VydFLVH3TRQUabQu_ym0Zz7PgGX0-kHA/edit?usp=sharing"",""แผน!IN54"")"),0)</f>
        <v>0</v>
      </c>
      <c r="J726" s="37">
        <f ca="1">IFERROR(__xludf.DUMMYFUNCTION("IMPORTRANGE(""https://docs.google.com/spreadsheets/d/1XWAQStnk-4SwqDmLtmXYiTMKHgktTP8We1SCoS47DrQ/edit?usp=sharing"",""จัดที่ดิน!BR54"")"),0)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IFERROR(__xludf.DUMMYFUNCTION("IMPORTRANGE(""https://docs.google.com/spreadsheets/d/1XWAQStnk-4SwqDmLtmXYiTMKHgktTP8We1SCoS47DrQ/edit?usp=sharing"",""จัดที่ดิน!BS54"")"),0)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IFERROR(__xludf.DUMMYFUNCTION("IMPORTRANGE(""https://docs.google.com/spreadsheets/d/1QqKyyYR6Q21VydFLVH3TRQUabQu_ym0Zz7PgGX0-kHA/edit?usp=sharing"",""แผน!IO54"")"),0)</f>
        <v>0</v>
      </c>
      <c r="J728" s="37">
        <f ca="1">IFERROR(__xludf.DUMMYFUNCTION("IMPORTRANGE(""https://docs.google.com/spreadsheets/d/1XWAQStnk-4SwqDmLtmXYiTMKHgktTP8We1SCoS47DrQ/edit?usp=sharing"",""จัดที่ดิน!BT54"")"),0)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IFERROR(__xludf.DUMMYFUNCTION("IMPORTRANGE(""https://docs.google.com/spreadsheets/d/1QqKyyYR6Q21VydFLVH3TRQUabQu_ym0Zz7PgGX0-kHA/edit?usp=sharing"",""แผน!IP54"")"),1)</f>
        <v>1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IFERROR(__xludf.DUMMYFUNCTION("IMPORTRANGE(""https://docs.google.com/spreadsheets/d/1QqKyyYR6Q21VydFLVH3TRQUabQu_ym0Zz7PgGX0-kHA/edit?usp=sharing"",""แผน!JJ54"")"),0)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IFERROR(__xludf.DUMMYFUNCTION("IMPORTRANGE(""https://docs.google.com/spreadsheets/d/1QqKyyYR6Q21VydFLVH3TRQUabQu_ym0Zz7PgGX0-kHA/edit?usp=sharing"",""แผน!JN54"")"),0)</f>
        <v>0</v>
      </c>
      <c r="J800" s="161">
        <f ca="1">IFERROR(__xludf.DUMMYFUNCTION("IMPORTRANGE(""https://docs.google.com/spreadsheets/d/1MaWodYyGHDf7siQLGxnXhG4mBNTNIuy296niS2xXulU/edit?usp=sharing"",""RTK!H54"")"),0)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IFERROR(__xludf.DUMMYFUNCTION("IMPORTRANGE(""https://docs.google.com/spreadsheets/d/1MaWodYyGHDf7siQLGxnXhG4mBNTNIuy296niS2xXulU/edit?usp=sharing"",""RTK!I54"")"),0)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69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IFERROR(__xludf.DUMMYFUNCTION("IMPORTRANGE(""https://docs.google.com/spreadsheets/d/19vJNZY_5yjcGF2XGBMNZRCAIB0Kwfpjp8YEOfu-bneM/edit?usp=sharing"",""งานกองทุน!D54"")"),6886000)</f>
        <v>6886000</v>
      </c>
      <c r="J821" s="37">
        <f ca="1">IFERROR(__xludf.DUMMYFUNCTION("IMPORTRANGE(""https://docs.google.com/spreadsheets/d/19vJNZY_5yjcGF2XGBMNZRCAIB0Kwfpjp8YEOfu-bneM/edit?usp=sharing"",""งานกองทุน!F54"")"),5385500)</f>
        <v>5385500</v>
      </c>
      <c r="K821" s="38">
        <f t="shared" ref="K821:K828" ca="1" si="335">IF(I821&gt;0,J821*100/I821,0)</f>
        <v>78.209410397908798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IFERROR(__xludf.DUMMYFUNCTION("IMPORTRANGE(""https://docs.google.com/spreadsheets/d/19vJNZY_5yjcGF2XGBMNZRCAIB0Kwfpjp8YEOfu-bneM/edit?usp=sharing"",""งานกองทุน!C54"")"),345)</f>
        <v>345</v>
      </c>
      <c r="J822" s="37">
        <f ca="1">IFERROR(__xludf.DUMMYFUNCTION("IMPORTRANGE(""https://docs.google.com/spreadsheets/d/19vJNZY_5yjcGF2XGBMNZRCAIB0Kwfpjp8YEOfu-bneM/edit?usp=sharing"",""งานกองทุน!E54"")"),271)</f>
        <v>271</v>
      </c>
      <c r="K822" s="38">
        <f t="shared" ca="1" si="335"/>
        <v>78.550724637681157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37">
        <f ca="1">IFERROR(__xludf.DUMMYFUNCTION("IMPORTRANGE(""https://docs.google.com/spreadsheets/d/19vJNZY_5yjcGF2XGBMNZRCAIB0Kwfpjp8YEOfu-bneM/edit?usp=sharing"",""งานกองทุน!K54"")"),1251837.66)</f>
        <v>1251837.6599999999</v>
      </c>
      <c r="K823" s="38">
        <f t="shared" ca="1" si="335"/>
        <v>8.2623752145050009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IFERROR(__xludf.DUMMYFUNCTION("IMPORTRANGE(""https://docs.google.com/spreadsheets/d/19vJNZY_5yjcGF2XGBMNZRCAIB0Kwfpjp8YEOfu-bneM/edit?usp=sharing"",""งานกองทุน!H54"")"),345)</f>
        <v>345</v>
      </c>
      <c r="J824" s="37">
        <f ca="1">IFERROR(__xludf.DUMMYFUNCTION("IMPORTRANGE(""https://docs.google.com/spreadsheets/d/19vJNZY_5yjcGF2XGBMNZRCAIB0Kwfpjp8YEOfu-bneM/edit?usp=sharing"",""งานกองทุน!J54"")"),149)</f>
        <v>149</v>
      </c>
      <c r="K824" s="38">
        <f t="shared" ca="1" si="335"/>
        <v>43.188405797101453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37">
        <f ca="1">IFERROR(__xludf.DUMMYFUNCTION("IMPORTRANGE(""https://docs.google.com/spreadsheets/d/19vJNZY_5yjcGF2XGBMNZRCAIB0Kwfpjp8YEOfu-bneM/edit?usp=sharing"",""งานกองทุน!P54"")"),76760.68)</f>
        <v>76760.679999999993</v>
      </c>
      <c r="K825" s="38">
        <f t="shared" ca="1" si="335"/>
        <v>7.2632502757048973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IFERROR(__xludf.DUMMYFUNCTION("IMPORTRANGE(""https://docs.google.com/spreadsheets/d/19vJNZY_5yjcGF2XGBMNZRCAIB0Kwfpjp8YEOfu-bneM/edit?usp=sharing"",""งานกองทุน!M54"")"),109)</f>
        <v>109</v>
      </c>
      <c r="J826" s="37">
        <f ca="1">IFERROR(__xludf.DUMMYFUNCTION("IMPORTRANGE(""https://docs.google.com/spreadsheets/d/19vJNZY_5yjcGF2XGBMNZRCAIB0Kwfpjp8YEOfu-bneM/edit?usp=sharing"",""งานกองทุน!O54"")"),78)</f>
        <v>78</v>
      </c>
      <c r="K826" s="38">
        <f t="shared" ca="1" si="335"/>
        <v>71.559633027522935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IFERROR(__xludf.DUMMYFUNCTION("IMPORTRANGE(""https://docs.google.com/spreadsheets/d/19vJNZY_5yjcGF2XGBMNZRCAIB0Kwfpjp8YEOfu-bneM/edit?usp=sharing"",""งานกองทุน!S54"")"),13880000)</f>
        <v>13880000</v>
      </c>
      <c r="J827" s="37">
        <f ca="1">IFERROR(__xludf.DUMMYFUNCTION("IMPORTRANGE(""https://docs.google.com/spreadsheets/d/19vJNZY_5yjcGF2XGBMNZRCAIB0Kwfpjp8YEOfu-bneM/edit?usp=sharing"",""งานกองทุน!U54"")"),4680000)</f>
        <v>4680000</v>
      </c>
      <c r="K827" s="38">
        <f t="shared" ca="1" si="335"/>
        <v>33.717579250720462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IFERROR(__xludf.DUMMYFUNCTION("IMPORTRANGE(""https://docs.google.com/spreadsheets/d/19vJNZY_5yjcGF2XGBMNZRCAIB0Kwfpjp8YEOfu-bneM/edit?usp=sharing"",""งานกองทุน!R54"")"),555)</f>
        <v>555</v>
      </c>
      <c r="J828" s="365">
        <f ca="1">IFERROR(__xludf.DUMMYFUNCTION("IMPORTRANGE(""https://docs.google.com/spreadsheets/d/19vJNZY_5yjcGF2XGBMNZRCAIB0Kwfpjp8YEOfu-bneM/edit?usp=sharing"",""งานกองทุน!T54"")"),234)</f>
        <v>234</v>
      </c>
      <c r="K828" s="472">
        <f t="shared" ca="1" si="335"/>
        <v>42.162162162162161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2484E-D86B-4861-878D-A98AFAD43E8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335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7734442.3499999996</v>
      </c>
      <c r="N8" s="22">
        <f t="shared" ca="1" si="0"/>
        <v>6749506.7000000002</v>
      </c>
      <c r="O8" s="22">
        <f t="shared" ref="O8:O16" ca="1" si="1">IF(L8&gt;0,N8*100/L8,0)</f>
        <v>91.802507357318618</v>
      </c>
      <c r="P8" s="22">
        <f t="shared" ref="P8:P16" ca="1" si="2">IF(M8&gt;0,N8*100/M8,0)</f>
        <v>87.265589354350809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7734442.3499999996</v>
      </c>
      <c r="N10" s="30">
        <f t="shared" ca="1" si="3"/>
        <v>6749506.7000000002</v>
      </c>
      <c r="O10" s="30">
        <f t="shared" ca="1" si="1"/>
        <v>91.802507357318618</v>
      </c>
      <c r="P10" s="30">
        <f t="shared" ca="1" si="2"/>
        <v>87.265589354350809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5858603</v>
      </c>
      <c r="M11" s="38">
        <f t="shared" ca="1" si="4"/>
        <v>6307842.3499999996</v>
      </c>
      <c r="N11" s="38">
        <f t="shared" ca="1" si="4"/>
        <v>5322906.7</v>
      </c>
      <c r="O11" s="38">
        <f t="shared" ca="1" si="1"/>
        <v>90.856245080951894</v>
      </c>
      <c r="P11" s="38">
        <f t="shared" ca="1" si="2"/>
        <v>84.385537948645791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5858603</v>
      </c>
      <c r="M13" s="45">
        <f t="shared" ca="1" si="5"/>
        <v>6307842.3499999996</v>
      </c>
      <c r="N13" s="45">
        <f t="shared" ca="1" si="5"/>
        <v>5322906.7</v>
      </c>
      <c r="O13" s="45">
        <f t="shared" ca="1" si="1"/>
        <v>90.856245080951894</v>
      </c>
      <c r="P13" s="45">
        <f t="shared" ca="1" si="2"/>
        <v>84.385537948645791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1493600</v>
      </c>
      <c r="M14" s="38">
        <f t="shared" ca="1" si="6"/>
        <v>1426600</v>
      </c>
      <c r="N14" s="38">
        <f t="shared" ca="1" si="6"/>
        <v>1426600</v>
      </c>
      <c r="O14" s="38">
        <f t="shared" ca="1" si="1"/>
        <v>95.514193893947507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5795744.3499999996</v>
      </c>
      <c r="N18" s="22">
        <f t="shared" ca="1" si="8"/>
        <v>5256921.2700000005</v>
      </c>
      <c r="O18" s="22">
        <f t="shared" ref="O18:O26" ca="1" si="9">IF(L18&gt;0,N18*100/L18,0)</f>
        <v>97.107535136662861</v>
      </c>
      <c r="P18" s="22">
        <f t="shared" ref="P18:P26" ca="1" si="10">IF(M18&gt;0,N18*100/M18,0)</f>
        <v>90.703125475160078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5795744.3499999996</v>
      </c>
      <c r="N20" s="30">
        <f t="shared" ca="1" si="11"/>
        <v>5256921.2700000005</v>
      </c>
      <c r="O20" s="30">
        <f t="shared" ca="1" si="9"/>
        <v>97.107535136662861</v>
      </c>
      <c r="P20" s="30">
        <f t="shared" ca="1" si="10"/>
        <v>90.703125475160078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3919905</v>
      </c>
      <c r="M21" s="38">
        <f t="shared" ca="1" si="12"/>
        <v>4369144.3499999996</v>
      </c>
      <c r="N21" s="38">
        <f t="shared" ca="1" si="12"/>
        <v>3830321.2700000005</v>
      </c>
      <c r="O21" s="38">
        <f t="shared" ca="1" si="9"/>
        <v>97.714645380436536</v>
      </c>
      <c r="P21" s="38">
        <f t="shared" ca="1" si="10"/>
        <v>87.667537695338467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3919905</v>
      </c>
      <c r="M23" s="45">
        <f t="shared" ca="1" si="13"/>
        <v>4369144.3499999996</v>
      </c>
      <c r="N23" s="45">
        <f t="shared" ca="1" si="13"/>
        <v>3830321.2700000005</v>
      </c>
      <c r="O23" s="45">
        <f t="shared" ca="1" si="9"/>
        <v>97.714645380436536</v>
      </c>
      <c r="P23" s="45">
        <f t="shared" ca="1" si="10"/>
        <v>87.667537695338467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1493600</v>
      </c>
      <c r="M24" s="38">
        <f t="shared" ca="1" si="14"/>
        <v>1426600</v>
      </c>
      <c r="N24" s="38">
        <f t="shared" ca="1" si="14"/>
        <v>1426600</v>
      </c>
      <c r="O24" s="38">
        <f t="shared" ca="1" si="9"/>
        <v>95.514193893947507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1492585.43</v>
      </c>
      <c r="O28" s="22">
        <f t="shared" ref="O28:O37" ca="1" si="17">IF(L28&gt;0,N28*100/L28,0)</f>
        <v>76.989063278550859</v>
      </c>
      <c r="P28" s="22">
        <f t="shared" ref="P28:P37" ca="1" si="18">IF(M28&gt;0,N28*100/M28,0)</f>
        <v>76.989063278550859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1492585.43</v>
      </c>
      <c r="O30" s="30">
        <f t="shared" ca="1" si="17"/>
        <v>76.989063278550859</v>
      </c>
      <c r="P30" s="30">
        <f t="shared" ca="1" si="18"/>
        <v>76.989063278550859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1938698</v>
      </c>
      <c r="M31" s="38">
        <f t="shared" ca="1" si="20"/>
        <v>1938698</v>
      </c>
      <c r="N31" s="38">
        <f t="shared" si="20"/>
        <v>1492585.43</v>
      </c>
      <c r="O31" s="38">
        <f t="shared" ca="1" si="17"/>
        <v>76.989063278550859</v>
      </c>
      <c r="P31" s="38">
        <f t="shared" ca="1" si="18"/>
        <v>76.989063278550859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1938698</v>
      </c>
      <c r="M33" s="45">
        <f t="shared" ca="1" si="21"/>
        <v>1938698</v>
      </c>
      <c r="N33" s="45">
        <f t="shared" si="21"/>
        <v>1492585.43</v>
      </c>
      <c r="O33" s="45">
        <f t="shared" ca="1" si="17"/>
        <v>76.989063278550859</v>
      </c>
      <c r="P33" s="45">
        <f t="shared" ca="1" si="18"/>
        <v>76.989063278550859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5795744.3499999996</v>
      </c>
      <c r="N37" s="59">
        <f t="shared" ca="1" si="24"/>
        <v>5256921.2700000005</v>
      </c>
      <c r="O37" s="59">
        <f t="shared" ca="1" si="17"/>
        <v>97.107535136662861</v>
      </c>
      <c r="P37" s="59">
        <f t="shared" ca="1" si="18"/>
        <v>90.703125475160078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761609.35</v>
      </c>
      <c r="N41" s="85">
        <f t="shared" ca="1" si="25"/>
        <v>623793.35</v>
      </c>
      <c r="O41" s="85">
        <f t="shared" ref="O41:O49" ca="1" si="26">IF(L41&gt;0,N41*100/L41,0)</f>
        <v>116.21673963670237</v>
      </c>
      <c r="P41" s="85">
        <f t="shared" ref="P41:P49" ca="1" si="27">IF(M41&gt;0,N41*100/M41,0)</f>
        <v>81.904633917637696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761609.35</v>
      </c>
      <c r="N43" s="92">
        <f t="shared" ca="1" si="28"/>
        <v>623793.35</v>
      </c>
      <c r="O43" s="92">
        <f t="shared" ca="1" si="26"/>
        <v>116.21673963670237</v>
      </c>
      <c r="P43" s="92">
        <f t="shared" ca="1" si="27"/>
        <v>81.904633917637696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536750</v>
      </c>
      <c r="M44" s="38">
        <f t="shared" ca="1" si="29"/>
        <v>761609.35</v>
      </c>
      <c r="N44" s="38">
        <f t="shared" ca="1" si="29"/>
        <v>623793.35</v>
      </c>
      <c r="O44" s="38">
        <f t="shared" ca="1" si="26"/>
        <v>116.21673963670237</v>
      </c>
      <c r="P44" s="38">
        <f t="shared" ca="1" si="27"/>
        <v>81.904633917637696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IFERROR(__xludf.DUMMYFUNCTION("IMPORTRANGE(""https://docs.google.com/spreadsheets/d/1MeEWN-I1oV_STSDYn1IFDPWt_1FKiwhDph83XaGc0o0/edit?usp=sharing"",""งบพรบ!M55"")"),536750)</f>
        <v>536750</v>
      </c>
      <c r="M46" s="45">
        <f ca="1">IFERROR(__xludf.DUMMYFUNCTION("IMPORTRANGE(""https://docs.google.com/spreadsheets/d/1MeEWN-I1oV_STSDYn1IFDPWt_1FKiwhDph83XaGc0o0/edit?usp=sharing"",""งบพรบ!R55"")"),761609.35)</f>
        <v>761609.35</v>
      </c>
      <c r="N46" s="45">
        <f ca="1">IFERROR(__xludf.DUMMYFUNCTION("IMPORTRANGE(""https://docs.google.com/spreadsheets/d/1MeEWN-I1oV_STSDYn1IFDPWt_1FKiwhDph83XaGc0o0/edit?usp=sharing"",""งบพรบ!T55"")"),623793.35)</f>
        <v>623793.35</v>
      </c>
      <c r="O46" s="45">
        <f t="shared" ca="1" si="26"/>
        <v>116.21673963670237</v>
      </c>
      <c r="P46" s="45">
        <f t="shared" ca="1" si="27"/>
        <v>81.904633917637696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1117500</v>
      </c>
      <c r="M53" s="115">
        <f t="shared" ca="1" si="31"/>
        <v>1118200</v>
      </c>
      <c r="N53" s="115">
        <f t="shared" ca="1" si="31"/>
        <v>1061872.1499999999</v>
      </c>
      <c r="O53" s="115">
        <f t="shared" ref="O53:O61" ca="1" si="32">IF(L53&gt;0,N53*100/L53,0)</f>
        <v>95.022116331096186</v>
      </c>
      <c r="P53" s="115">
        <f t="shared" ref="P53:P61" ca="1" si="33">IF(M53&gt;0,N53*100/M53,0)</f>
        <v>94.962631908424243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1117500</v>
      </c>
      <c r="M55" s="122">
        <f t="shared" ca="1" si="34"/>
        <v>1118200</v>
      </c>
      <c r="N55" s="122">
        <f t="shared" ca="1" si="34"/>
        <v>1061872.1499999999</v>
      </c>
      <c r="O55" s="122">
        <f t="shared" ca="1" si="32"/>
        <v>95.022116331096186</v>
      </c>
      <c r="P55" s="122">
        <f t="shared" ca="1" si="33"/>
        <v>94.962631908424243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928700</v>
      </c>
      <c r="M56" s="38">
        <f t="shared" ca="1" si="35"/>
        <v>929400</v>
      </c>
      <c r="N56" s="38">
        <f t="shared" ca="1" si="35"/>
        <v>873072.15</v>
      </c>
      <c r="O56" s="38">
        <f t="shared" ca="1" si="32"/>
        <v>94.010137827070096</v>
      </c>
      <c r="P56" s="38">
        <f t="shared" ca="1" si="33"/>
        <v>93.939331826985153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IFERROR(__xludf.DUMMYFUNCTION("IMPORTRANGE(""https://docs.google.com/spreadsheets/d/1MeEWN-I1oV_STSDYn1IFDPWt_1FKiwhDph83XaGc0o0/edit?usp=sharing"",""งบพรบ!W55"")"),928700)</f>
        <v>928700</v>
      </c>
      <c r="M58" s="45">
        <f ca="1">IFERROR(__xludf.DUMMYFUNCTION("IMPORTRANGE(""https://docs.google.com/spreadsheets/d/1MeEWN-I1oV_STSDYn1IFDPWt_1FKiwhDph83XaGc0o0/edit?usp=sharing"",""งบพรบ!AB55"")"),929400)</f>
        <v>929400</v>
      </c>
      <c r="N58" s="45">
        <f ca="1">IFERROR(__xludf.DUMMYFUNCTION("IMPORTRANGE(""https://docs.google.com/spreadsheets/d/1MeEWN-I1oV_STSDYn1IFDPWt_1FKiwhDph83XaGc0o0/edit?usp=sharing"",""งบพรบ!AD55"")"),873072.15)</f>
        <v>873072.15</v>
      </c>
      <c r="O58" s="45">
        <f t="shared" ca="1" si="32"/>
        <v>94.010137827070096</v>
      </c>
      <c r="P58" s="45">
        <f t="shared" ca="1" si="33"/>
        <v>93.939331826985153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188800</v>
      </c>
      <c r="M59" s="38">
        <f t="shared" ca="1" si="36"/>
        <v>188800</v>
      </c>
      <c r="N59" s="38">
        <f t="shared" ca="1" si="36"/>
        <v>188800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IFERROR(__xludf.DUMMYFUNCTION("IMPORTRANGE(""https://docs.google.com/spreadsheets/d/1MeEWN-I1oV_STSDYn1IFDPWt_1FKiwhDph83XaGc0o0/edit?usp=sharing"",""งบพรบ!AG55"")"),0)</f>
        <v>0</v>
      </c>
      <c r="M71" s="45">
        <f ca="1">IFERROR(__xludf.DUMMYFUNCTION("IMPORTRANGE(""https://docs.google.com/spreadsheets/d/1MeEWN-I1oV_STSDYn1IFDPWt_1FKiwhDph83XaGc0o0/edit?usp=sharing"",""งบพรบ!AL55"")"),0)</f>
        <v>0</v>
      </c>
      <c r="N71" s="45">
        <f ca="1">IFERROR(__xludf.DUMMYFUNCTION("IMPORTRANGE(""https://docs.google.com/spreadsheets/d/1MeEWN-I1oV_STSDYn1IFDPWt_1FKiwhDph83XaGc0o0/edit?usp=sharing"",""งบพรบ!AN55"")"),0)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IFERROR(__xludf.DUMMYFUNCTION("IMPORTRANGE(""https://docs.google.com/spreadsheets/d/1MeEWN-I1oV_STSDYn1IFDPWt_1FKiwhDph83XaGc0o0/edit?usp=sharing"",""งบพรบ!AJ55"")"),0)</f>
        <v>0</v>
      </c>
      <c r="M74" s="45">
        <f ca="1">IFERROR(__xludf.DUMMYFUNCTION("IMPORTRANGE(""https://docs.google.com/spreadsheets/d/1MeEWN-I1oV_STSDYn1IFDPWt_1FKiwhDph83XaGc0o0/edit?usp=sharing"",""งบพรบ!AM55"")"),0)</f>
        <v>0</v>
      </c>
      <c r="N74" s="45">
        <f ca="1">IFERROR(__xludf.DUMMYFUNCTION("IMPORTRANGE(""https://docs.google.com/spreadsheets/d/1MeEWN-I1oV_STSDYn1IFDPWt_1FKiwhDph83XaGc0o0/edit?usp=sharing"",""งบพรบ!AO55"")"),0)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IFERROR(__xludf.DUMMYFUNCTION("IMPORTRANGE(""https://docs.google.com/spreadsheets/d/1QqKyyYR6Q21VydFLVH3TRQUabQu_ym0Zz7PgGX0-kHA/edit?usp=sharing"",""แผน!D55"")"),0)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IFERROR(__xludf.DUMMYFUNCTION("IMPORTRANGE(""https://docs.google.com/spreadsheets/d/1QqKyyYR6Q21VydFLVH3TRQUabQu_ym0Zz7PgGX0-kHA/edit?usp=sharing"",""แผน!E55"")"),0)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IFERROR(__xludf.DUMMYFUNCTION("IMPORTRANGE(""https://docs.google.com/spreadsheets/d/1QqKyyYR6Q21VydFLVH3TRQUabQu_ym0Zz7PgGX0-kHA/edit?usp=sharing"",""แผน!J55"")"),0)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85840</v>
      </c>
      <c r="N88" s="154">
        <f t="shared" ca="1" si="49"/>
        <v>84760</v>
      </c>
      <c r="O88" s="154">
        <f t="shared" ref="O88:O96" ca="1" si="50">IF(L88&gt;0,N88*100/L88,0)</f>
        <v>98.741845293569426</v>
      </c>
      <c r="P88" s="154">
        <f t="shared" ref="P88:P96" ca="1" si="51">IF(M88&gt;0,N88*100/M88,0)</f>
        <v>98.741845293569426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85840</v>
      </c>
      <c r="N90" s="45">
        <f t="shared" ca="1" si="52"/>
        <v>84760</v>
      </c>
      <c r="O90" s="45">
        <f t="shared" ca="1" si="50"/>
        <v>98.741845293569426</v>
      </c>
      <c r="P90" s="45">
        <f t="shared" ca="1" si="51"/>
        <v>98.741845293569426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85840</v>
      </c>
      <c r="N91" s="38">
        <f t="shared" ca="1" si="53"/>
        <v>84760</v>
      </c>
      <c r="O91" s="38">
        <f t="shared" ca="1" si="50"/>
        <v>98.741845293569426</v>
      </c>
      <c r="P91" s="38">
        <f t="shared" ca="1" si="51"/>
        <v>98.741845293569426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IFERROR(__xludf.DUMMYFUNCTION("IMPORTRANGE(""https://docs.google.com/spreadsheets/d/1MeEWN-I1oV_STSDYn1IFDPWt_1FKiwhDph83XaGc0o0/edit?usp=sharing"",""งบพรบ!AQ55"")"),85840)</f>
        <v>85840</v>
      </c>
      <c r="M93" s="45">
        <f ca="1">IFERROR(__xludf.DUMMYFUNCTION("IMPORTRANGE(""https://docs.google.com/spreadsheets/d/1MeEWN-I1oV_STSDYn1IFDPWt_1FKiwhDph83XaGc0o0/edit?usp=sharing"",""งบพรบ!AV55"")"),85840)</f>
        <v>85840</v>
      </c>
      <c r="N93" s="45">
        <f ca="1">IFERROR(__xludf.DUMMYFUNCTION("IMPORTRANGE(""https://docs.google.com/spreadsheets/d/1MeEWN-I1oV_STSDYn1IFDPWt_1FKiwhDph83XaGc0o0/edit?usp=sharing"",""งบพรบ!AX55"")"),84760)</f>
        <v>84760</v>
      </c>
      <c r="O93" s="45">
        <f t="shared" ca="1" si="50"/>
        <v>98.741845293569426</v>
      </c>
      <c r="P93" s="45">
        <f t="shared" ca="1" si="51"/>
        <v>98.741845293569426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IFERROR(__xludf.DUMMYFUNCTION("IMPORTRANGE(""https://docs.google.com/spreadsheets/d/1MeEWN-I1oV_STSDYn1IFDPWt_1FKiwhDph83XaGc0o0/edit?usp=sharing"",""งบพรบ!AT55"")"),0)</f>
        <v>0</v>
      </c>
      <c r="M96" s="45">
        <f ca="1">IFERROR(__xludf.DUMMYFUNCTION("IMPORTRANGE(""https://docs.google.com/spreadsheets/d/1MeEWN-I1oV_STSDYn1IFDPWt_1FKiwhDph83XaGc0o0/edit?usp=sharing"",""งบพรบ!AW55"")"),0)</f>
        <v>0</v>
      </c>
      <c r="N96" s="45">
        <f ca="1">IFERROR(__xludf.DUMMYFUNCTION("IMPORTRANGE(""https://docs.google.com/spreadsheets/d/1MeEWN-I1oV_STSDYn1IFDPWt_1FKiwhDph83XaGc0o0/edit?usp=sharing"",""งบพรบ!AY55"")"),0)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IFERROR(__xludf.DUMMYFUNCTION("IMPORTRANGE(""https://docs.google.com/spreadsheets/d/1QqKyyYR6Q21VydFLVH3TRQUabQu_ym0Zz7PgGX0-kHA/edit?usp=sharing"",""แผน!K55"")"),30)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IFERROR(__xludf.DUMMYFUNCTION("IMPORTRANGE(""https://docs.google.com/spreadsheets/d/1QqKyyYR6Q21VydFLVH3TRQUabQu_ym0Zz7PgGX0-kHA/edit?usp=sharing"",""แผน!L55"")"),10)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IFERROR(__xludf.DUMMYFUNCTION("IMPORTRANGE(""https://docs.google.com/spreadsheets/d/1QqKyyYR6Q21VydFLVH3TRQUabQu_ym0Zz7PgGX0-kHA/edit?usp=sharing"",""แผน!M55"")"),2)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IFERROR(__xludf.DUMMYFUNCTION("IMPORTRANGE(""https://docs.google.com/spreadsheets/d/1QqKyyYR6Q21VydFLVH3TRQUabQu_ym0Zz7PgGX0-kHA/edit?usp=sharing"",""แผน!N55"")"),30)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IFERROR(__xludf.DUMMYFUNCTION("IMPORTRANGE(""https://docs.google.com/spreadsheets/d/1QqKyyYR6Q21VydFLVH3TRQUabQu_ym0Zz7PgGX0-kHA/edit?usp=sharing"",""แผน!O55"")"),10)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IFERROR(__xludf.DUMMYFUNCTION("IMPORTRANGE(""https://docs.google.com/spreadsheets/d/1QqKyyYR6Q21VydFLVH3TRQUabQu_ym0Zz7PgGX0-kHA/edit?usp=sharing"",""แผน!O55"")"),10)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IFERROR(__xludf.DUMMYFUNCTION("IMPORTRANGE(""https://docs.google.com/spreadsheets/d/1QqKyyYR6Q21VydFLVH3TRQUabQu_ym0Zz7PgGX0-kHA/edit?usp=sharing"",""แผน!Q55"")"),1)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IFERROR(__xludf.DUMMYFUNCTION("IMPORTRANGE(""https://docs.google.com/spreadsheets/d/1QqKyyYR6Q21VydFLVH3TRQUabQu_ym0Zz7PgGX0-kHA/edit?usp=sharing"",""แผน!Q55"")"),1)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IFERROR(__xludf.DUMMYFUNCTION("IMPORTRANGE(""https://docs.google.com/spreadsheets/d/1QqKyyYR6Q21VydFLVH3TRQUabQu_ym0Zz7PgGX0-kHA/edit?usp=sharing"",""แผน!R55"")"),10)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IFERROR(__xludf.DUMMYFUNCTION("IMPORTRANGE(""https://docs.google.com/spreadsheets/d/1QqKyyYR6Q21VydFLVH3TRQUabQu_ym0Zz7PgGX0-kHA/edit?usp=sharing"",""แผน!R55"")"),10)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IFERROR(__xludf.DUMMYFUNCTION("IMPORTRANGE(""https://docs.google.com/spreadsheets/d/1QqKyyYR6Q21VydFLVH3TRQUabQu_ym0Zz7PgGX0-kHA/edit?usp=sharing"",""แผน!R55"")"),10)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IFERROR(__xludf.DUMMYFUNCTION("IMPORTRANGE(""https://docs.google.com/spreadsheets/d/1QqKyyYR6Q21VydFLVH3TRQUabQu_ym0Zz7PgGX0-kHA/edit?usp=sharing"",""แผน!S55"")"),1)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IFERROR(__xludf.DUMMYFUNCTION("IMPORTRANGE(""https://docs.google.com/spreadsheets/d/1QqKyyYR6Q21VydFLVH3TRQUabQu_ym0Zz7PgGX0-kHA/edit?usp=sharing"",""แผน!T55"")"),1)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IFERROR(__xludf.DUMMYFUNCTION("IMPORTRANGE(""https://docs.google.com/spreadsheets/d/1MeEWN-I1oV_STSDYn1IFDPWt_1FKiwhDph83XaGc0o0/edit?usp=sharing"",""งบพรบ!BA55"")"),0)</f>
        <v>0</v>
      </c>
      <c r="M124" s="45">
        <f ca="1">IFERROR(__xludf.DUMMYFUNCTION("IMPORTRANGE(""https://docs.google.com/spreadsheets/d/1MeEWN-I1oV_STSDYn1IFDPWt_1FKiwhDph83XaGc0o0/edit?usp=sharing"",""งบพรบ!BF55"")"),0)</f>
        <v>0</v>
      </c>
      <c r="N124" s="45">
        <f ca="1">IFERROR(__xludf.DUMMYFUNCTION("IMPORTRANGE(""https://docs.google.com/spreadsheets/d/1MeEWN-I1oV_STSDYn1IFDPWt_1FKiwhDph83XaGc0o0/edit?usp=sharing"",""งบพรบ!BH55"")"),0)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IFERROR(__xludf.DUMMYFUNCTION("IMPORTRANGE(""https://docs.google.com/spreadsheets/d/1MeEWN-I1oV_STSDYn1IFDPWt_1FKiwhDph83XaGc0o0/edit?usp=sharing"",""งบพรบ!BD55"")"),0)</f>
        <v>0</v>
      </c>
      <c r="M127" s="45">
        <f ca="1">IFERROR(__xludf.DUMMYFUNCTION("IMPORTRANGE(""https://docs.google.com/spreadsheets/d/1MeEWN-I1oV_STSDYn1IFDPWt_1FKiwhDph83XaGc0o0/edit?usp=sharing"",""งบพรบ!BG55"")"),0)</f>
        <v>0</v>
      </c>
      <c r="N127" s="45">
        <f ca="1">IFERROR(__xludf.DUMMYFUNCTION("IMPORTRANGE(""https://docs.google.com/spreadsheets/d/1MeEWN-I1oV_STSDYn1IFDPWt_1FKiwhDph83XaGc0o0/edit?usp=sharing"",""งบพรบ!BI55"")"),0)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151655</v>
      </c>
      <c r="M132" s="154">
        <f t="shared" ca="1" si="69"/>
        <v>151655</v>
      </c>
      <c r="N132" s="154">
        <f t="shared" ca="1" si="69"/>
        <v>150550</v>
      </c>
      <c r="O132" s="154">
        <f t="shared" ref="O132:O140" ca="1" si="70">IF(L132&gt;0,N132*100/L132,0)</f>
        <v>99.271372523161119</v>
      </c>
      <c r="P132" s="154">
        <f t="shared" ref="P132:P140" ca="1" si="71">IF(M132&gt;0,N132*100/M132,0)</f>
        <v>99.271372523161119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151655</v>
      </c>
      <c r="M134" s="45">
        <f t="shared" ca="1" si="72"/>
        <v>151655</v>
      </c>
      <c r="N134" s="45">
        <f t="shared" ca="1" si="72"/>
        <v>150550</v>
      </c>
      <c r="O134" s="45">
        <f t="shared" ca="1" si="70"/>
        <v>99.271372523161119</v>
      </c>
      <c r="P134" s="45">
        <f t="shared" ca="1" si="71"/>
        <v>99.271372523161119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48655</v>
      </c>
      <c r="M135" s="38">
        <f t="shared" ca="1" si="73"/>
        <v>48655</v>
      </c>
      <c r="N135" s="38">
        <f t="shared" ca="1" si="73"/>
        <v>47550</v>
      </c>
      <c r="O135" s="38">
        <f t="shared" ca="1" si="70"/>
        <v>97.728907614839173</v>
      </c>
      <c r="P135" s="38">
        <f t="shared" ca="1" si="71"/>
        <v>97.728907614839173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IFERROR(__xludf.DUMMYFUNCTION("IMPORTRANGE(""https://docs.google.com/spreadsheets/d/1MeEWN-I1oV_STSDYn1IFDPWt_1FKiwhDph83XaGc0o0/edit?usp=sharing"",""งบพรบ!BK55"")"),48655)</f>
        <v>48655</v>
      </c>
      <c r="M137" s="45">
        <f ca="1">IFERROR(__xludf.DUMMYFUNCTION("IMPORTRANGE(""https://docs.google.com/spreadsheets/d/1MeEWN-I1oV_STSDYn1IFDPWt_1FKiwhDph83XaGc0o0/edit?usp=sharing"",""งบพรบ!BP55"")"),48655)</f>
        <v>48655</v>
      </c>
      <c r="N137" s="45">
        <f ca="1">IFERROR(__xludf.DUMMYFUNCTION("IMPORTRANGE(""https://docs.google.com/spreadsheets/d/1MeEWN-I1oV_STSDYn1IFDPWt_1FKiwhDph83XaGc0o0/edit?usp=sharing"",""งบพรบ!BR55"")"),47550)</f>
        <v>47550</v>
      </c>
      <c r="O137" s="45">
        <f t="shared" ca="1" si="70"/>
        <v>97.728907614839173</v>
      </c>
      <c r="P137" s="45">
        <f t="shared" ca="1" si="71"/>
        <v>97.728907614839173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IFERROR(__xludf.DUMMYFUNCTION("IMPORTRANGE(""https://docs.google.com/spreadsheets/d/1MeEWN-I1oV_STSDYn1IFDPWt_1FKiwhDph83XaGc0o0/edit?usp=sharing"",""งบพรบ!BN55"")"),103000)</f>
        <v>103000</v>
      </c>
      <c r="M140" s="45">
        <f ca="1">IFERROR(__xludf.DUMMYFUNCTION("IMPORTRANGE(""https://docs.google.com/spreadsheets/d/1MeEWN-I1oV_STSDYn1IFDPWt_1FKiwhDph83XaGc0o0/edit?usp=sharing"",""งบพรบ!BQ55"")"),103000)</f>
        <v>103000</v>
      </c>
      <c r="N140" s="45">
        <f ca="1">IFERROR(__xludf.DUMMYFUNCTION("IMPORTRANGE(""https://docs.google.com/spreadsheets/d/1MeEWN-I1oV_STSDYn1IFDPWt_1FKiwhDph83XaGc0o0/edit?usp=sharing"",""งบพรบ!BS55"")"),103000)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IFERROR(__xludf.DUMMYFUNCTION("IMPORTRANGE(""https://docs.google.com/spreadsheets/d/1QqKyyYR6Q21VydFLVH3TRQUabQu_ym0Zz7PgGX0-kHA/edit?usp=sharing"",""แผน!U55"")"),5)</f>
        <v>5</v>
      </c>
      <c r="J144" s="181">
        <v>10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IFERROR(__xludf.DUMMYFUNCTION("IMPORTRANGE(""https://docs.google.com/spreadsheets/d/1QqKyyYR6Q21VydFLVH3TRQUabQu_ym0Zz7PgGX0-kHA/edit?usp=sharing"",""แผน!V55"")"),10)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IFERROR(__xludf.DUMMYFUNCTION("IMPORTRANGE(""https://docs.google.com/spreadsheets/d/1QqKyyYR6Q21VydFLVH3TRQUabQu_ym0Zz7PgGX0-kHA/edit?usp=sharing"",""แผน!W55"")"),1)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22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11040</v>
      </c>
      <c r="N149" s="154">
        <f t="shared" ca="1" si="77"/>
        <v>11040</v>
      </c>
      <c r="O149" s="154">
        <f t="shared" ref="O149:O157" ca="1" si="78">IF(L149&gt;0,N149*100/L149,0)</f>
        <v>110.4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11040</v>
      </c>
      <c r="N151" s="45">
        <f t="shared" ca="1" si="80"/>
        <v>11040</v>
      </c>
      <c r="O151" s="45">
        <f t="shared" ca="1" si="78"/>
        <v>110.4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11040</v>
      </c>
      <c r="N152" s="38">
        <f t="shared" ca="1" si="81"/>
        <v>11040</v>
      </c>
      <c r="O152" s="38">
        <f t="shared" ca="1" si="78"/>
        <v>110.4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IFERROR(__xludf.DUMMYFUNCTION("IMPORTRANGE(""https://docs.google.com/spreadsheets/d/1MeEWN-I1oV_STSDYn1IFDPWt_1FKiwhDph83XaGc0o0/edit?usp=sharing"",""งบพรบ!BU55"")"),10000)</f>
        <v>10000</v>
      </c>
      <c r="M154" s="45">
        <f ca="1">IFERROR(__xludf.DUMMYFUNCTION("IMPORTRANGE(""https://docs.google.com/spreadsheets/d/1MeEWN-I1oV_STSDYn1IFDPWt_1FKiwhDph83XaGc0o0/edit?usp=sharing"",""งบพรบ!BZ55"")"),11040)</f>
        <v>11040</v>
      </c>
      <c r="N154" s="45">
        <f ca="1">IFERROR(__xludf.DUMMYFUNCTION("IMPORTRANGE(""https://docs.google.com/spreadsheets/d/1MeEWN-I1oV_STSDYn1IFDPWt_1FKiwhDph83XaGc0o0/edit?usp=sharing"",""งบพรบ!CB55"")"),11040)</f>
        <v>11040</v>
      </c>
      <c r="O154" s="45">
        <f t="shared" ca="1" si="78"/>
        <v>110.4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IFERROR(__xludf.DUMMYFUNCTION("IMPORTRANGE(""https://docs.google.com/spreadsheets/d/1MeEWN-I1oV_STSDYn1IFDPWt_1FKiwhDph83XaGc0o0/edit?usp=sharing"",""งบพรบ!BX55"")"),0)</f>
        <v>0</v>
      </c>
      <c r="M157" s="45">
        <f ca="1">IFERROR(__xludf.DUMMYFUNCTION("IMPORTRANGE(""https://docs.google.com/spreadsheets/d/1MeEWN-I1oV_STSDYn1IFDPWt_1FKiwhDph83XaGc0o0/edit?usp=sharing"",""งบพรบ!CA55"")"),0)</f>
        <v>0</v>
      </c>
      <c r="N157" s="45">
        <f ca="1">IFERROR(__xludf.DUMMYFUNCTION("IMPORTRANGE(""https://docs.google.com/spreadsheets/d/1MeEWN-I1oV_STSDYn1IFDPWt_1FKiwhDph83XaGc0o0/edit?usp=sharing"",""งบพรบ!CC55"")"),0)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IFERROR(__xludf.DUMMYFUNCTION("IMPORTRANGE(""https://docs.google.com/spreadsheets/d/1QqKyyYR6Q21VydFLVH3TRQUabQu_ym0Zz7PgGX0-kHA/edit?usp=sharing"",""แผน!X55"")"),20)</f>
        <v>20</v>
      </c>
      <c r="J159" s="181">
        <v>22</v>
      </c>
      <c r="K159" s="38">
        <f ca="1">IF(I159&gt;0,J159*100/I159,0)</f>
        <v>110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36100</v>
      </c>
      <c r="N165" s="154">
        <f t="shared" ca="1" si="84"/>
        <v>36100</v>
      </c>
      <c r="O165" s="154">
        <f t="shared" ref="O165:O173" ca="1" si="85">IF(L165&gt;0,N165*100/L165,0)</f>
        <v>156.54813529921944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36100</v>
      </c>
      <c r="N167" s="45">
        <f t="shared" ca="1" si="87"/>
        <v>36100</v>
      </c>
      <c r="O167" s="45">
        <f t="shared" ca="1" si="85"/>
        <v>156.54813529921944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36100</v>
      </c>
      <c r="N168" s="38">
        <f t="shared" ca="1" si="88"/>
        <v>36100</v>
      </c>
      <c r="O168" s="38">
        <f t="shared" ca="1" si="85"/>
        <v>156.54813529921944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IFERROR(__xludf.DUMMYFUNCTION("IMPORTRANGE(""https://docs.google.com/spreadsheets/d/1MeEWN-I1oV_STSDYn1IFDPWt_1FKiwhDph83XaGc0o0/edit?usp=sharing"",""งบพรบ!CE55"")"),23060)</f>
        <v>23060</v>
      </c>
      <c r="M170" s="45">
        <f ca="1">IFERROR(__xludf.DUMMYFUNCTION("IMPORTRANGE(""https://docs.google.com/spreadsheets/d/1MeEWN-I1oV_STSDYn1IFDPWt_1FKiwhDph83XaGc0o0/edit?usp=sharing"",""งบพรบ!CJ55"")"),36100)</f>
        <v>36100</v>
      </c>
      <c r="N170" s="45">
        <f ca="1">IFERROR(__xludf.DUMMYFUNCTION("IMPORTRANGE(""https://docs.google.com/spreadsheets/d/1MeEWN-I1oV_STSDYn1IFDPWt_1FKiwhDph83XaGc0o0/edit?usp=sharing"",""งบพรบ!CL55"")"),36100)</f>
        <v>36100</v>
      </c>
      <c r="O170" s="45">
        <f t="shared" ca="1" si="85"/>
        <v>156.54813529921944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IFERROR(__xludf.DUMMYFUNCTION("IMPORTRANGE(""https://docs.google.com/spreadsheets/d/1MeEWN-I1oV_STSDYn1IFDPWt_1FKiwhDph83XaGc0o0/edit?usp=sharing"",""งบพรบ!CH55"")"),0)</f>
        <v>0</v>
      </c>
      <c r="M173" s="45">
        <f ca="1">IFERROR(__xludf.DUMMYFUNCTION("IMPORTRANGE(""https://docs.google.com/spreadsheets/d/1MeEWN-I1oV_STSDYn1IFDPWt_1FKiwhDph83XaGc0o0/edit?usp=sharing"",""งบพรบ!CK55"")"),0)</f>
        <v>0</v>
      </c>
      <c r="N173" s="45">
        <f ca="1">IFERROR(__xludf.DUMMYFUNCTION("IMPORTRANGE(""https://docs.google.com/spreadsheets/d/1MeEWN-I1oV_STSDYn1IFDPWt_1FKiwhDph83XaGc0o0/edit?usp=sharing"",""งบพรบ!CM55"")"),0)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IFERROR(__xludf.DUMMYFUNCTION("IMPORTRANGE(""https://docs.google.com/spreadsheets/d/1QqKyyYR6Q21VydFLVH3TRQUabQu_ym0Zz7PgGX0-kHA/edit?usp=sharing"",""แผน!Y55"")"),12)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70</v>
      </c>
      <c r="J180" s="242">
        <f t="shared" si="91"/>
        <v>70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633700</v>
      </c>
      <c r="M181" s="154">
        <f t="shared" ca="1" si="92"/>
        <v>667720</v>
      </c>
      <c r="N181" s="154">
        <f t="shared" ca="1" si="92"/>
        <v>630752.91</v>
      </c>
      <c r="O181" s="154">
        <f t="shared" ref="O181:O189" ca="1" si="93">IF(L181&gt;0,N181*100/L181,0)</f>
        <v>99.53493924569986</v>
      </c>
      <c r="P181" s="154">
        <f t="shared" ref="P181:P189" ca="1" si="94">IF(M181&gt;0,N181*100/M181,0)</f>
        <v>94.463683879470437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633700</v>
      </c>
      <c r="M183" s="45">
        <f t="shared" ca="1" si="95"/>
        <v>667720</v>
      </c>
      <c r="N183" s="45">
        <f t="shared" ca="1" si="95"/>
        <v>630752.91</v>
      </c>
      <c r="O183" s="45">
        <f t="shared" ca="1" si="93"/>
        <v>99.53493924569986</v>
      </c>
      <c r="P183" s="45">
        <f t="shared" ca="1" si="94"/>
        <v>94.463683879470437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633700</v>
      </c>
      <c r="M184" s="38">
        <f t="shared" ca="1" si="96"/>
        <v>667720</v>
      </c>
      <c r="N184" s="38">
        <f t="shared" ca="1" si="96"/>
        <v>630752.91</v>
      </c>
      <c r="O184" s="38">
        <f t="shared" ca="1" si="93"/>
        <v>99.53493924569986</v>
      </c>
      <c r="P184" s="38">
        <f t="shared" ca="1" si="94"/>
        <v>94.463683879470437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IFERROR(__xludf.DUMMYFUNCTION("IMPORTRANGE(""https://docs.google.com/spreadsheets/d/1MeEWN-I1oV_STSDYn1IFDPWt_1FKiwhDph83XaGc0o0/edit?usp=sharing"",""งบพรบ!CO55"")"),633700)</f>
        <v>633700</v>
      </c>
      <c r="M186" s="45">
        <f ca="1">IFERROR(__xludf.DUMMYFUNCTION("IMPORTRANGE(""https://docs.google.com/spreadsheets/d/1MeEWN-I1oV_STSDYn1IFDPWt_1FKiwhDph83XaGc0o0/edit?usp=sharing"",""งบพรบ!CT55"")"),667720)</f>
        <v>667720</v>
      </c>
      <c r="N186" s="45">
        <f ca="1">IFERROR(__xludf.DUMMYFUNCTION("IMPORTRANGE(""https://docs.google.com/spreadsheets/d/1MeEWN-I1oV_STSDYn1IFDPWt_1FKiwhDph83XaGc0o0/edit?usp=sharing"",""งบพรบ!CV55"")"),630752.91)</f>
        <v>630752.91</v>
      </c>
      <c r="O186" s="45">
        <f t="shared" ca="1" si="93"/>
        <v>99.53493924569986</v>
      </c>
      <c r="P186" s="45">
        <f t="shared" ca="1" si="94"/>
        <v>94.463683879470437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IFERROR(__xludf.DUMMYFUNCTION("IMPORTRANGE(""https://docs.google.com/spreadsheets/d/1MeEWN-I1oV_STSDYn1IFDPWt_1FKiwhDph83XaGc0o0/edit?usp=sharing"",""งบพรบ!CR55"")"),0)</f>
        <v>0</v>
      </c>
      <c r="M189" s="45">
        <f ca="1">IFERROR(__xludf.DUMMYFUNCTION("IMPORTRANGE(""https://docs.google.com/spreadsheets/d/1MeEWN-I1oV_STSDYn1IFDPWt_1FKiwhDph83XaGc0o0/edit?usp=sharing"",""งบพรบ!CU55"")"),0)</f>
        <v>0</v>
      </c>
      <c r="N189" s="45">
        <f ca="1">IFERROR(__xludf.DUMMYFUNCTION("IMPORTRANGE(""https://docs.google.com/spreadsheets/d/1MeEWN-I1oV_STSDYn1IFDPWt_1FKiwhDph83XaGc0o0/edit?usp=sharing"",""งบพรบ!CW55"")"),0)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IFERROR(__xludf.DUMMYFUNCTION("IMPORTRANGE(""https://docs.google.com/spreadsheets/d/1QqKyyYR6Q21VydFLVH3TRQUabQu_ym0Zz7PgGX0-kHA/edit?usp=sharing"",""แผน!Z55"")"),6000)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IFERROR(__xludf.DUMMYFUNCTION("IMPORTRANGE(""https://docs.google.com/spreadsheets/d/1QqKyyYR6Q21VydFLVH3TRQUabQu_ym0Zz7PgGX0-kHA/edit?usp=sharing"",""แผน!AC55"")"),4)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108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108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IFERROR(__xludf.DUMMYFUNCTION("IMPORTRANGE(""https://docs.google.com/spreadsheets/d/1QqKyyYR6Q21VydFLVH3TRQUabQu_ym0Zz7PgGX0-kHA/edit?usp=sharing"",""แผน!AE55"")"),3000)</f>
        <v>3000</v>
      </c>
      <c r="M199" s="38"/>
      <c r="N199" s="271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IFERROR(__xludf.DUMMYFUNCTION("IMPORTRANGE(""https://docs.google.com/spreadsheets/d/1QqKyyYR6Q21VydFLVH3TRQUabQu_ym0Zz7PgGX0-kHA/edit?usp=sharing"",""แผน!AF55"")"),24000)</f>
        <v>24000</v>
      </c>
      <c r="M200" s="38"/>
      <c r="N200" s="271">
        <v>24000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IFERROR(__xludf.DUMMYFUNCTION("IMPORTRANGE(""https://docs.google.com/spreadsheets/d/1QqKyyYR6Q21VydFLVH3TRQUabQu_ym0Zz7PgGX0-kHA/edit?usp=sharing"",""แผน!AG55"")"),12000)</f>
        <v>12000</v>
      </c>
      <c r="M201" s="38"/>
      <c r="N201" s="271">
        <v>12000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IFERROR(__xludf.DUMMYFUNCTION("IMPORTRANGE(""https://docs.google.com/spreadsheets/d/1QqKyyYR6Q21VydFLVH3TRQUabQu_ym0Zz7PgGX0-kHA/edit?usp=sharing"",""แผน!AH55"")"),0)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IFERROR(__xludf.DUMMYFUNCTION("IMPORTRANGE(""https://docs.google.com/spreadsheets/d/1QqKyyYR6Q21VydFLVH3TRQUabQu_ym0Zz7PgGX0-kHA/edit?usp=sharing"",""แผน!AI55"")"),3)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3</v>
      </c>
      <c r="J208" s="260">
        <f t="shared" si="101"/>
        <v>3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42000</v>
      </c>
      <c r="M209" s="154"/>
      <c r="N209" s="154">
        <f>N210+N211+N212</f>
        <v>42000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IFERROR(__xludf.DUMMYFUNCTION("IMPORTRANGE(""https://docs.google.com/spreadsheets/d/1QqKyyYR6Q21VydFLVH3TRQUabQu_ym0Zz7PgGX0-kHA/edit?usp=sharing"",""แผน!AK55"")"),3000)</f>
        <v>3000</v>
      </c>
      <c r="M210" s="38"/>
      <c r="N210" s="271">
        <v>3000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IFERROR(__xludf.DUMMYFUNCTION("IMPORTRANGE(""https://docs.google.com/spreadsheets/d/1QqKyyYR6Q21VydFLVH3TRQUabQu_ym0Zz7PgGX0-kHA/edit?usp=sharing"",""แผน!AL55"")"),15000)</f>
        <v>15000</v>
      </c>
      <c r="M211" s="38"/>
      <c r="N211" s="271">
        <v>15000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IFERROR(__xludf.DUMMYFUNCTION("IMPORTRANGE(""https://docs.google.com/spreadsheets/d/1QqKyyYR6Q21VydFLVH3TRQUabQu_ym0Zz7PgGX0-kHA/edit?usp=sharing"",""แผน!AM55"")"),24000)</f>
        <v>24000</v>
      </c>
      <c r="M212" s="38"/>
      <c r="N212" s="271">
        <v>24000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IFERROR(__xludf.DUMMYFUNCTION("IMPORTRANGE(""https://docs.google.com/spreadsheets/d/1QqKyyYR6Q21VydFLVH3TRQUabQu_ym0Zz7PgGX0-kHA/edit?usp=sharing"",""แผน!AN55"")"),3)</f>
        <v>3</v>
      </c>
      <c r="J214" s="181">
        <v>3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IFERROR(__xludf.DUMMYFUNCTION("IMPORTRANGE(""https://docs.google.com/spreadsheets/d/1QqKyyYR6Q21VydFLVH3TRQUabQu_ym0Zz7PgGX0-kHA/edit?usp=sharing"",""แผน!AN55"")"),3)</f>
        <v>3</v>
      </c>
      <c r="J215" s="181">
        <v>3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40000</v>
      </c>
      <c r="J216" s="260">
        <f t="shared" si="103"/>
        <v>40000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25000</v>
      </c>
      <c r="M217" s="154"/>
      <c r="N217" s="154">
        <f>N218+N219+N220</f>
        <v>25000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IFERROR(__xludf.DUMMYFUNCTION("IMPORTRANGE(""https://docs.google.com/spreadsheets/d/1QqKyyYR6Q21VydFLVH3TRQUabQu_ym0Zz7PgGX0-kHA/edit?usp=sharing"",""แผน!AP55"")"),5000)</f>
        <v>5000</v>
      </c>
      <c r="M218" s="38"/>
      <c r="N218" s="271">
        <v>5000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IFERROR(__xludf.DUMMYFUNCTION("IMPORTRANGE(""https://docs.google.com/spreadsheets/d/1QqKyyYR6Q21VydFLVH3TRQUabQu_ym0Zz7PgGX0-kHA/edit?usp=sharing"",""แผน!AQ55"")"),10000)</f>
        <v>10000</v>
      </c>
      <c r="M219" s="38"/>
      <c r="N219" s="271">
        <v>10000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IFERROR(__xludf.DUMMYFUNCTION("IMPORTRANGE(""https://docs.google.com/spreadsheets/d/1QqKyyYR6Q21VydFLVH3TRQUabQu_ym0Zz7PgGX0-kHA/edit?usp=sharing"",""แผน!AR55"")"),10000)</f>
        <v>10000</v>
      </c>
      <c r="M220" s="38"/>
      <c r="N220" s="271">
        <v>10000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IFERROR(__xludf.DUMMYFUNCTION("IMPORTRANGE(""https://docs.google.com/spreadsheets/d/1QqKyyYR6Q21VydFLVH3TRQUabQu_ym0Zz7PgGX0-kHA/edit?usp=sharing"",""แผน!AT55"")"),40000)</f>
        <v>40000</v>
      </c>
      <c r="J223" s="181">
        <v>40000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IFERROR(__xludf.DUMMYFUNCTION("IMPORTRANGE(""https://docs.google.com/spreadsheets/d/1QqKyyYR6Q21VydFLVH3TRQUabQu_ym0Zz7PgGX0-kHA/edit?usp=sharing"",""แผน!AT55"")"),40000)</f>
        <v>40000</v>
      </c>
      <c r="J224" s="181">
        <v>40000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IFERROR(__xludf.DUMMYFUNCTION("IMPORTRANGE(""https://docs.google.com/spreadsheets/d/1QqKyyYR6Q21VydFLVH3TRQUabQu_ym0Zz7PgGX0-kHA/edit?usp=sharing"",""แผน!AS55"")"),10)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60</v>
      </c>
      <c r="J226" s="330">
        <f t="shared" si="105"/>
        <v>60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368000</v>
      </c>
      <c r="M227" s="341"/>
      <c r="N227" s="341">
        <f t="shared" ref="N227:N231" si="107">N238+N249</f>
        <v>341138.33999999997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183000</v>
      </c>
      <c r="M228" s="45"/>
      <c r="N228" s="45">
        <f t="shared" si="107"/>
        <v>155338.34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70000</v>
      </c>
      <c r="M229" s="45"/>
      <c r="N229" s="45">
        <f t="shared" si="107"/>
        <v>70800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95000</v>
      </c>
      <c r="M230" s="45"/>
      <c r="N230" s="45">
        <f t="shared" si="107"/>
        <v>95000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20000</v>
      </c>
      <c r="M231" s="45"/>
      <c r="N231" s="45">
        <f t="shared" si="107"/>
        <v>20000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60</v>
      </c>
      <c r="J233" s="44">
        <f t="shared" si="108"/>
        <v>60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60</v>
      </c>
      <c r="J235" s="44">
        <f t="shared" si="109"/>
        <v>60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2</v>
      </c>
      <c r="J236" s="44">
        <f t="shared" si="109"/>
        <v>2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336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30</v>
      </c>
      <c r="J237" s="260">
        <f t="shared" si="111"/>
        <v>30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239900</v>
      </c>
      <c r="M238" s="154"/>
      <c r="N238" s="154">
        <f>N239+N240+N241+N242</f>
        <v>213038.34</v>
      </c>
      <c r="O238" s="154">
        <f ca="1">IF(L238&gt;0,N238*100/L238,0)</f>
        <v>88.802976240100037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IFERROR(__xludf.DUMMYFUNCTION("IMPORTRANGE(""https://docs.google.com/spreadsheets/d/1QqKyyYR6Q21VydFLVH3TRQUabQu_ym0Zz7PgGX0-kHA/edit?usp=sharing"",""แผน!AV55"")"),163000)</f>
        <v>163000</v>
      </c>
      <c r="M239" s="270"/>
      <c r="N239" s="808">
        <v>130498.34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IFERROR(__xludf.DUMMYFUNCTION("IMPORTRANGE(""https://docs.google.com/spreadsheets/d/1QqKyyYR6Q21VydFLVH3TRQUabQu_ym0Zz7PgGX0-kHA/edit?usp=sharing"",""แผน!AW55"")"),31900)</f>
        <v>31900</v>
      </c>
      <c r="M240" s="270"/>
      <c r="N240" s="808">
        <v>37540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IFERROR(__xludf.DUMMYFUNCTION("IMPORTRANGE(""https://docs.google.com/spreadsheets/d/1QqKyyYR6Q21VydFLVH3TRQUabQu_ym0Zz7PgGX0-kHA/edit?usp=sharing"",""แผน!AX55"")"),35000)</f>
        <v>35000</v>
      </c>
      <c r="M241" s="270"/>
      <c r="N241" s="808">
        <v>35000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IFERROR(__xludf.DUMMYFUNCTION("IMPORTRANGE(""https://docs.google.com/spreadsheets/d/1QqKyyYR6Q21VydFLVH3TRQUabQu_ym0Zz7PgGX0-kHA/edit?usp=sharing"",""แผน!AY55"")"),10000)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IFERROR(__xludf.DUMMYFUNCTION("IMPORTRANGE(""https://docs.google.com/spreadsheets/d/1QqKyyYR6Q21VydFLVH3TRQUabQu_ym0Zz7PgGX0-kHA/edit?usp=sharing"",""แผน!BE55"")"),30)</f>
        <v>30</v>
      </c>
      <c r="J244" s="181">
        <v>30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30</v>
      </c>
      <c r="J246" s="181">
        <v>30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>
      <c r="A248" s="245"/>
      <c r="B248" s="253"/>
      <c r="C248" s="259" t="s">
        <v>337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30</v>
      </c>
      <c r="J248" s="260">
        <f t="shared" si="113"/>
        <v>30</v>
      </c>
      <c r="K248" s="261">
        <f t="shared" ca="1" si="112"/>
        <v>100</v>
      </c>
      <c r="L248" s="251"/>
      <c r="M248" s="251"/>
      <c r="N248" s="251"/>
      <c r="O248" s="251"/>
      <c r="P248" s="251"/>
    </row>
    <row r="249" spans="1:26" ht="19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128100</v>
      </c>
      <c r="M249" s="154"/>
      <c r="N249" s="154">
        <f>N250+N251+N252+N253</f>
        <v>128100</v>
      </c>
      <c r="O249" s="154">
        <f ca="1">IF(L249&gt;0,N249*100/L249,0)</f>
        <v>100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IFERROR(__xludf.DUMMYFUNCTION("IMPORTRANGE(""https://docs.google.com/spreadsheets/d/1QqKyyYR6Q21VydFLVH3TRQUabQu_ym0Zz7PgGX0-kHA/edit?usp=sharing"",""แผน!AZ55"")"),20000)</f>
        <v>20000</v>
      </c>
      <c r="M250" s="270"/>
      <c r="N250" s="808">
        <v>24840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IFERROR(__xludf.DUMMYFUNCTION("IMPORTRANGE(""https://docs.google.com/spreadsheets/d/1QqKyyYR6Q21VydFLVH3TRQUabQu_ym0Zz7PgGX0-kHA/edit?usp=sharing"",""แผน!BA55"")"),38100)</f>
        <v>38100</v>
      </c>
      <c r="M251" s="270"/>
      <c r="N251" s="808">
        <v>33260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IFERROR(__xludf.DUMMYFUNCTION("IMPORTRANGE(""https://docs.google.com/spreadsheets/d/1QqKyyYR6Q21VydFLVH3TRQUabQu_ym0Zz7PgGX0-kHA/edit?usp=sharing"",""แผน!BB55"")"),60000)</f>
        <v>60000</v>
      </c>
      <c r="M252" s="270"/>
      <c r="N252" s="808">
        <v>60000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IFERROR(__xludf.DUMMYFUNCTION("IMPORTRANGE(""https://docs.google.com/spreadsheets/d/1QqKyyYR6Q21VydFLVH3TRQUabQu_ym0Zz7PgGX0-kHA/edit?usp=sharing"",""แผน!BC55"")"),10000)</f>
        <v>10000</v>
      </c>
      <c r="M253" s="270"/>
      <c r="N253" s="808">
        <v>10000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IFERROR(__xludf.DUMMYFUNCTION("IMPORTRANGE(""https://docs.google.com/spreadsheets/d/1QqKyyYR6Q21VydFLVH3TRQUabQu_ym0Zz7PgGX0-kHA/edit?usp=sharing"",""แผน!BF55"")"),30)</f>
        <v>30</v>
      </c>
      <c r="J255" s="181">
        <v>30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>
        <v>30</v>
      </c>
      <c r="J257" s="181">
        <v>30</v>
      </c>
      <c r="K257" s="38">
        <f t="shared" ref="K257:K258" si="114">IF(I257&gt;0,J257*100/I257,0)</f>
        <v>100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>
        <v>1</v>
      </c>
      <c r="J258" s="181">
        <v>1</v>
      </c>
      <c r="K258" s="38">
        <f t="shared" si="114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23640</v>
      </c>
      <c r="O261" s="154">
        <f t="shared" ref="O261:O269" ca="1" si="117">IF(L261&gt;0,N261*100/L261,0)</f>
        <v>87.881040892193312</v>
      </c>
      <c r="P261" s="154">
        <f t="shared" ref="P261:P269" ca="1" si="118">IF(M261&gt;0,N261*100/M261,0)</f>
        <v>87.881040892193312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23640</v>
      </c>
      <c r="O263" s="45">
        <f t="shared" ca="1" si="117"/>
        <v>87.881040892193312</v>
      </c>
      <c r="P263" s="45">
        <f t="shared" ca="1" si="118"/>
        <v>87.881040892193312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23640</v>
      </c>
      <c r="O264" s="38">
        <f t="shared" ca="1" si="117"/>
        <v>87.881040892193312</v>
      </c>
      <c r="P264" s="38">
        <f t="shared" ca="1" si="118"/>
        <v>87.881040892193312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IFERROR(__xludf.DUMMYFUNCTION("IMPORTRANGE(""https://docs.google.com/spreadsheets/d/1MeEWN-I1oV_STSDYn1IFDPWt_1FKiwhDph83XaGc0o0/edit?usp=sharing"",""งบพรบ!CY55"")"),26900)</f>
        <v>26900</v>
      </c>
      <c r="M266" s="45">
        <f ca="1">IFERROR(__xludf.DUMMYFUNCTION("IMPORTRANGE(""https://docs.google.com/spreadsheets/d/1MeEWN-I1oV_STSDYn1IFDPWt_1FKiwhDph83XaGc0o0/edit?usp=sharing"",""งบพรบ!DD55"")"),26900)</f>
        <v>26900</v>
      </c>
      <c r="N266" s="45">
        <f ca="1">IFERROR(__xludf.DUMMYFUNCTION("IMPORTRANGE(""https://docs.google.com/spreadsheets/d/1MeEWN-I1oV_STSDYn1IFDPWt_1FKiwhDph83XaGc0o0/edit?usp=sharing"",""งบพรบ!DF55"")"),23640)</f>
        <v>23640</v>
      </c>
      <c r="O266" s="45">
        <f t="shared" ca="1" si="117"/>
        <v>87.881040892193312</v>
      </c>
      <c r="P266" s="45">
        <f t="shared" ca="1" si="118"/>
        <v>87.881040892193312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IFERROR(__xludf.DUMMYFUNCTION("IMPORTRANGE(""https://docs.google.com/spreadsheets/d/1MeEWN-I1oV_STSDYn1IFDPWt_1FKiwhDph83XaGc0o0/edit?usp=sharing"",""งบพรบ!DB55"")"),0)</f>
        <v>0</v>
      </c>
      <c r="M269" s="45">
        <f ca="1">IFERROR(__xludf.DUMMYFUNCTION("IMPORTRANGE(""https://docs.google.com/spreadsheets/d/1MeEWN-I1oV_STSDYn1IFDPWt_1FKiwhDph83XaGc0o0/edit?usp=sharing"",""งบพรบ!DE55"")"),0)</f>
        <v>0</v>
      </c>
      <c r="N269" s="45">
        <f ca="1">IFERROR(__xludf.DUMMYFUNCTION("IMPORTRANGE(""https://docs.google.com/spreadsheets/d/1MeEWN-I1oV_STSDYn1IFDPWt_1FKiwhDph83XaGc0o0/edit?usp=sharing"",""งบพรบ!DG55"")"),0)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IFERROR(__xludf.DUMMYFUNCTION("IMPORTRANGE(""https://docs.google.com/spreadsheets/d/1QqKyyYR6Q21VydFLVH3TRQUabQu_ym0Zz7PgGX0-kHA/edit?usp=sharing"",""แผน!EA55"")"),22)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50</v>
      </c>
      <c r="J276" s="810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21945</v>
      </c>
      <c r="O277" s="154">
        <f t="shared" ref="O277:O285" ca="1" si="126">IF(L277&gt;0,N277*100/L277,0)</f>
        <v>96.97304463102077</v>
      </c>
      <c r="P277" s="154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21945</v>
      </c>
      <c r="O279" s="45">
        <f t="shared" ca="1" si="126"/>
        <v>96.97304463102077</v>
      </c>
      <c r="P279" s="45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21945</v>
      </c>
      <c r="O280" s="38">
        <f t="shared" ca="1" si="126"/>
        <v>96.97304463102077</v>
      </c>
      <c r="P280" s="38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IFERROR(__xludf.DUMMYFUNCTION("IMPORTRANGE(""https://docs.google.com/spreadsheets/d/1MeEWN-I1oV_STSDYn1IFDPWt_1FKiwhDph83XaGc0o0/edit?usp=sharing"",""งบพรบ!DI55"")"),22630)</f>
        <v>22630</v>
      </c>
      <c r="M282" s="45">
        <f ca="1">IFERROR(__xludf.DUMMYFUNCTION("IMPORTRANGE(""https://docs.google.com/spreadsheets/d/1MeEWN-I1oV_STSDYn1IFDPWt_1FKiwhDph83XaGc0o0/edit?usp=sharing"",""งบพรบ!DN55"")"),22630)</f>
        <v>22630</v>
      </c>
      <c r="N282" s="45">
        <f ca="1">IFERROR(__xludf.DUMMYFUNCTION("IMPORTRANGE(""https://docs.google.com/spreadsheets/d/1MeEWN-I1oV_STSDYn1IFDPWt_1FKiwhDph83XaGc0o0/edit?usp=sharing"",""งบพรบ!DP55"")"),21945)</f>
        <v>21945</v>
      </c>
      <c r="O282" s="45">
        <f t="shared" ca="1" si="126"/>
        <v>96.97304463102077</v>
      </c>
      <c r="P282" s="45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IFERROR(__xludf.DUMMYFUNCTION("IMPORTRANGE(""https://docs.google.com/spreadsheets/d/1MeEWN-I1oV_STSDYn1IFDPWt_1FKiwhDph83XaGc0o0/edit?usp=sharing"",""งบพรบ!DL55"")"),0)</f>
        <v>0</v>
      </c>
      <c r="M285" s="45">
        <f ca="1">IFERROR(__xludf.DUMMYFUNCTION("IMPORTRANGE(""https://docs.google.com/spreadsheets/d/1MeEWN-I1oV_STSDYn1IFDPWt_1FKiwhDph83XaGc0o0/edit?usp=sharing"",""งบพรบ!DO55"")"),0)</f>
        <v>0</v>
      </c>
      <c r="N285" s="45">
        <f ca="1">IFERROR(__xludf.DUMMYFUNCTION("IMPORTRANGE(""https://docs.google.com/spreadsheets/d/1MeEWN-I1oV_STSDYn1IFDPWt_1FKiwhDph83XaGc0o0/edit?usp=sharing"",""งบพรบ!DQ55"")"),0)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IFERROR(__xludf.DUMMYFUNCTION("IMPORTRANGE(""https://docs.google.com/spreadsheets/d/1QqKyyYR6Q21VydFLVH3TRQUabQu_ym0Zz7PgGX0-kHA/edit?usp=sharing"",""แผน!EC55"")"),50)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IFERROR(__xludf.DUMMYFUNCTION("IMPORTRANGE(""https://docs.google.com/spreadsheets/d/1QqKyyYR6Q21VydFLVH3TRQUabQu_ym0Zz7PgGX0-kHA/edit?usp=sharing"",""แผน!EB55"")"),5)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IFERROR(__xludf.DUMMYFUNCTION("IMPORTRANGE(""https://docs.google.com/spreadsheets/d/1QqKyyYR6Q21VydFLVH3TRQUabQu_ym0Zz7PgGX0-kHA/edit?usp=sharing"",""แผน!EB55"")"),5)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IFERROR(__xludf.DUMMYFUNCTION("IMPORTRANGE(""https://docs.google.com/spreadsheets/d/1QqKyyYR6Q21VydFLVH3TRQUabQu_ym0Zz7PgGX0-kHA/edit?usp=sharing"",""แผน!EB55"")"),5)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IFERROR(__xludf.DUMMYFUNCTION("IMPORTRANGE(""https://docs.google.com/spreadsheets/d/1QqKyyYR6Q21VydFLVH3TRQUabQu_ym0Zz7PgGX0-kHA/edit?usp=sharing"",""แผน!EB55"")"),5)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IFERROR(__xludf.DUMMYFUNCTION("IMPORTRANGE(""https://docs.google.com/spreadsheets/d/1QqKyyYR6Q21VydFLVH3TRQUabQu_ym0Zz7PgGX0-kHA/edit?usp=sharing"",""แผน!EB55"")"),5)</f>
        <v>5</v>
      </c>
      <c r="J294" s="401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225400</v>
      </c>
      <c r="M298" s="154">
        <f t="shared" ca="1" si="135"/>
        <v>225400</v>
      </c>
      <c r="N298" s="154">
        <f t="shared" ca="1" si="135"/>
        <v>195490.08</v>
      </c>
      <c r="O298" s="154">
        <f t="shared" ref="O298:O306" ca="1" si="136">IF(L298&gt;0,N298*100/L298,0)</f>
        <v>86.730292812777279</v>
      </c>
      <c r="P298" s="154">
        <f t="shared" ref="P298:P306" ca="1" si="137">IF(M298&gt;0,N298*100/M298,0)</f>
        <v>86.730292812777279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225400</v>
      </c>
      <c r="M300" s="45">
        <f t="shared" ca="1" si="138"/>
        <v>225400</v>
      </c>
      <c r="N300" s="45">
        <f t="shared" ca="1" si="138"/>
        <v>195490.08</v>
      </c>
      <c r="O300" s="45">
        <f t="shared" ca="1" si="136"/>
        <v>86.730292812777279</v>
      </c>
      <c r="P300" s="45">
        <f t="shared" ca="1" si="137"/>
        <v>86.730292812777279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225400</v>
      </c>
      <c r="M301" s="38">
        <f t="shared" ca="1" si="139"/>
        <v>225400</v>
      </c>
      <c r="N301" s="38">
        <f t="shared" ca="1" si="139"/>
        <v>195490.08</v>
      </c>
      <c r="O301" s="38">
        <f t="shared" ca="1" si="136"/>
        <v>86.730292812777279</v>
      </c>
      <c r="P301" s="38">
        <f t="shared" ca="1" si="137"/>
        <v>86.730292812777279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IFERROR(__xludf.DUMMYFUNCTION("IMPORTRANGE(""https://docs.google.com/spreadsheets/d/1MeEWN-I1oV_STSDYn1IFDPWt_1FKiwhDph83XaGc0o0/edit?usp=sharing"",""งบพรบ!DS55"")"),225400)</f>
        <v>225400</v>
      </c>
      <c r="M303" s="45">
        <f ca="1">IFERROR(__xludf.DUMMYFUNCTION("IMPORTRANGE(""https://docs.google.com/spreadsheets/d/1MeEWN-I1oV_STSDYn1IFDPWt_1FKiwhDph83XaGc0o0/edit?usp=sharing"",""งบพรบ!DX55"")"),225400)</f>
        <v>225400</v>
      </c>
      <c r="N303" s="45">
        <f ca="1">IFERROR(__xludf.DUMMYFUNCTION("IMPORTRANGE(""https://docs.google.com/spreadsheets/d/1MeEWN-I1oV_STSDYn1IFDPWt_1FKiwhDph83XaGc0o0/edit?usp=sharing"",""งบพรบ!DZ55"")"),195490.08)</f>
        <v>195490.08</v>
      </c>
      <c r="O303" s="45">
        <f t="shared" ca="1" si="136"/>
        <v>86.730292812777279</v>
      </c>
      <c r="P303" s="45">
        <f t="shared" ca="1" si="137"/>
        <v>86.730292812777279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IFERROR(__xludf.DUMMYFUNCTION("IMPORTRANGE(""https://docs.google.com/spreadsheets/d/1MeEWN-I1oV_STSDYn1IFDPWt_1FKiwhDph83XaGc0o0/edit?usp=sharing"",""งบพรบ!DV55"")"),0)</f>
        <v>0</v>
      </c>
      <c r="M306" s="45">
        <f ca="1">IFERROR(__xludf.DUMMYFUNCTION("IMPORTRANGE(""https://docs.google.com/spreadsheets/d/1MeEWN-I1oV_STSDYn1IFDPWt_1FKiwhDph83XaGc0o0/edit?usp=sharing"",""งบพรบ!DY55"")"),0)</f>
        <v>0</v>
      </c>
      <c r="N306" s="45">
        <f ca="1">IFERROR(__xludf.DUMMYFUNCTION("IMPORTRANGE(""https://docs.google.com/spreadsheets/d/1MeEWN-I1oV_STSDYn1IFDPWt_1FKiwhDph83XaGc0o0/edit?usp=sharing"",""งบพรบ!EA55"")"),0)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IFERROR(__xludf.DUMMYFUNCTION("IMPORTRANGE(""https://docs.google.com/spreadsheets/d/1QqKyyYR6Q21VydFLVH3TRQUabQu_ym0Zz7PgGX0-kHA/edit?usp=sharing"",""แผน!ED55"")"),20)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IFERROR(__xludf.DUMMYFUNCTION("IMPORTRANGE(""https://docs.google.com/spreadsheets/d/1QqKyyYR6Q21VydFLVH3TRQUabQu_ym0Zz7PgGX0-kHA/edit?usp=sharing"",""แผน!ED55"")"),20)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IFERROR(__xludf.DUMMYFUNCTION("IMPORTRANGE(""https://docs.google.com/spreadsheets/d/1QqKyyYR6Q21VydFLVH3TRQUabQu_ym0Zz7PgGX0-kHA/edit?usp=sharing"",""แผน!ED55"")"),20)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IFERROR(__xludf.DUMMYFUNCTION("IMPORTRANGE(""https://docs.google.com/spreadsheets/d/1QqKyyYR6Q21VydFLVH3TRQUabQu_ym0Zz7PgGX0-kHA/edit?usp=sharing"",""แผน!EE55"")"),4)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IFERROR(__xludf.DUMMYFUNCTION("IMPORTRANGE(""https://docs.google.com/spreadsheets/d/1MeEWN-I1oV_STSDYn1IFDPWt_1FKiwhDph83XaGc0o0/edit?usp=sharing"",""งบพรบ!EC55"")"),0)</f>
        <v>0</v>
      </c>
      <c r="M320" s="45">
        <f ca="1">IFERROR(__xludf.DUMMYFUNCTION("IMPORTRANGE(""https://docs.google.com/spreadsheets/d/1MeEWN-I1oV_STSDYn1IFDPWt_1FKiwhDph83XaGc0o0/edit?usp=sharing"",""งบพรบ!EH55"")"),0)</f>
        <v>0</v>
      </c>
      <c r="N320" s="45">
        <f ca="1">IFERROR(__xludf.DUMMYFUNCTION("IMPORTRANGE(""https://docs.google.com/spreadsheets/d/1MeEWN-I1oV_STSDYn1IFDPWt_1FKiwhDph83XaGc0o0/edit?usp=sharing"",""งบพรบ!EJ55"")"),0)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IFERROR(__xludf.DUMMYFUNCTION("IMPORTRANGE(""https://docs.google.com/spreadsheets/d/1MeEWN-I1oV_STSDYn1IFDPWt_1FKiwhDph83XaGc0o0/edit?usp=sharing"",""งบพรบ!EF55"")"),0)</f>
        <v>0</v>
      </c>
      <c r="M323" s="45">
        <f ca="1">IFERROR(__xludf.DUMMYFUNCTION("IMPORTRANGE(""https://docs.google.com/spreadsheets/d/1MeEWN-I1oV_STSDYn1IFDPWt_1FKiwhDph83XaGc0o0/edit?usp=sharing"",""งบพรบ!EI55"")"),0)</f>
        <v>0</v>
      </c>
      <c r="N323" s="45">
        <f ca="1">IFERROR(__xludf.DUMMYFUNCTION("IMPORTRANGE(""https://docs.google.com/spreadsheets/d/1MeEWN-I1oV_STSDYn1IFDPWt_1FKiwhDph83XaGc0o0/edit?usp=sharing"",""งบพรบ!EK55"")"),0)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IFERROR(__xludf.DUMMYFUNCTION("IMPORTRANGE(""https://docs.google.com/spreadsheets/d/1QqKyyYR6Q21VydFLVH3TRQUabQu_ym0Zz7PgGX0-kHA/edit?usp=sharing"",""แผน!EG55"")"),4300)</f>
        <v>4300</v>
      </c>
      <c r="J327" s="421">
        <f ca="1">J338+J341+J342+J343</f>
        <v>9335</v>
      </c>
      <c r="K327" s="422">
        <f ca="1">IF(I327&gt;0,J327*100/I327,0)</f>
        <v>217.09302325581396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1139000</v>
      </c>
      <c r="M328" s="154">
        <f t="shared" ca="1" si="149"/>
        <v>1074500</v>
      </c>
      <c r="N328" s="154">
        <f t="shared" ca="1" si="149"/>
        <v>1046840</v>
      </c>
      <c r="O328" s="154">
        <f t="shared" ref="O328:O336" ca="1" si="150">IF(L328&gt;0,N328*100/L328,0)</f>
        <v>91.908691834942928</v>
      </c>
      <c r="P328" s="154">
        <f t="shared" ref="P328:P336" ca="1" si="151">IF(M328&gt;0,N328*100/M328,0)</f>
        <v>97.425779432294092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1139000</v>
      </c>
      <c r="M330" s="45">
        <f t="shared" ca="1" si="152"/>
        <v>1074500</v>
      </c>
      <c r="N330" s="45">
        <f t="shared" ca="1" si="152"/>
        <v>1046840</v>
      </c>
      <c r="O330" s="45">
        <f t="shared" ca="1" si="150"/>
        <v>91.908691834942928</v>
      </c>
      <c r="P330" s="45">
        <f t="shared" ca="1" si="151"/>
        <v>97.425779432294092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177000</v>
      </c>
      <c r="M331" s="38">
        <f t="shared" ca="1" si="153"/>
        <v>179500</v>
      </c>
      <c r="N331" s="38">
        <f t="shared" ca="1" si="153"/>
        <v>151840</v>
      </c>
      <c r="O331" s="38">
        <f t="shared" ca="1" si="150"/>
        <v>85.78531073446328</v>
      </c>
      <c r="P331" s="38">
        <f t="shared" ca="1" si="151"/>
        <v>84.590529247910865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IFERROR(__xludf.DUMMYFUNCTION("IMPORTRANGE(""https://docs.google.com/spreadsheets/d/1MeEWN-I1oV_STSDYn1IFDPWt_1FKiwhDph83XaGc0o0/edit?usp=sharing"",""งบพรบ!EM55"")"),177000)</f>
        <v>177000</v>
      </c>
      <c r="M333" s="45">
        <f ca="1">IFERROR(__xludf.DUMMYFUNCTION("IMPORTRANGE(""https://docs.google.com/spreadsheets/d/1MeEWN-I1oV_STSDYn1IFDPWt_1FKiwhDph83XaGc0o0/edit?usp=sharing"",""งบพรบ!ER55"")"),179500)</f>
        <v>179500</v>
      </c>
      <c r="N333" s="45">
        <f ca="1">IFERROR(__xludf.DUMMYFUNCTION("IMPORTRANGE(""https://docs.google.com/spreadsheets/d/1MeEWN-I1oV_STSDYn1IFDPWt_1FKiwhDph83XaGc0o0/edit?usp=sharing"",""งบพรบ!ET55"")"),151840)</f>
        <v>151840</v>
      </c>
      <c r="O333" s="45">
        <f t="shared" ca="1" si="150"/>
        <v>85.78531073446328</v>
      </c>
      <c r="P333" s="45">
        <f t="shared" ca="1" si="151"/>
        <v>84.590529247910865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962000</v>
      </c>
      <c r="M334" s="38">
        <f t="shared" ca="1" si="154"/>
        <v>895000</v>
      </c>
      <c r="N334" s="38">
        <f t="shared" ca="1" si="154"/>
        <v>895000</v>
      </c>
      <c r="O334" s="38">
        <f t="shared" ca="1" si="150"/>
        <v>93.035343035343033</v>
      </c>
      <c r="P334" s="38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IFERROR(__xludf.DUMMYFUNCTION("IMPORTRANGE(""https://docs.google.com/spreadsheets/d/1MeEWN-I1oV_STSDYn1IFDPWt_1FKiwhDph83XaGc0o0/edit?usp=sharing"",""งบพรบ!EP55"")"),962000)</f>
        <v>962000</v>
      </c>
      <c r="M336" s="45">
        <f ca="1">IFERROR(__xludf.DUMMYFUNCTION("IMPORTRANGE(""https://docs.google.com/spreadsheets/d/1MeEWN-I1oV_STSDYn1IFDPWt_1FKiwhDph83XaGc0o0/edit?usp=sharing"",""งบพรบ!ES55"")"),895000)</f>
        <v>895000</v>
      </c>
      <c r="N336" s="45">
        <f ca="1">IFERROR(__xludf.DUMMYFUNCTION("IMPORTRANGE(""https://docs.google.com/spreadsheets/d/1MeEWN-I1oV_STSDYn1IFDPWt_1FKiwhDph83XaGc0o0/edit?usp=sharing"",""งบพรบ!EU55"")"),895000)</f>
        <v>895000</v>
      </c>
      <c r="O336" s="45">
        <f t="shared" ca="1" si="150"/>
        <v>93.035343035343033</v>
      </c>
      <c r="P336" s="45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IFERROR(__xludf.DUMMYFUNCTION("IMPORTRANGE(""https://docs.google.com/spreadsheets/d/1QqKyyYR6Q21VydFLVH3TRQUabQu_ym0Zz7PgGX0-kHA/edit?usp=sharing"",""แผน!EG55"")"),4300)</f>
        <v>4300</v>
      </c>
      <c r="J338" s="37">
        <f ca="1">IFERROR(__xludf.DUMMYFUNCTION("IMPORTRANGE(""https://docs.google.com/spreadsheets/d/1kVcqe37tkHyjCSG3S0O1AXqVkqjo8mSIZil3BcpIysc/edit?usp=sharing"",""ศูนย์!D55"")"),8389)</f>
        <v>8389</v>
      </c>
      <c r="K338" s="38">
        <f ca="1">IF(I338&gt;0,J338*100/I338,0)</f>
        <v>195.09302325581396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IFERROR(__xludf.DUMMYFUNCTION("IMPORTRANGE(""https://docs.google.com/spreadsheets/d/1QqKyyYR6Q21VydFLVH3TRQUabQu_ym0Zz7PgGX0-kHA/edit?usp=sharing"",""แผน!EH55"")"),7)</f>
        <v>7</v>
      </c>
      <c r="J340" s="37">
        <f ca="1">IFERROR(__xludf.DUMMYFUNCTION("IMPORTRANGE(""https://docs.google.com/spreadsheets/d/1kVcqe37tkHyjCSG3S0O1AXqVkqjo8mSIZil3BcpIysc/edit?usp=sharing"",""ศูนย์!E55"")"),7)</f>
        <v>7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IFERROR(__xludf.DUMMYFUNCTION("IMPORTRANGE(""https://docs.google.com/spreadsheets/d/1kVcqe37tkHyjCSG3S0O1AXqVkqjo8mSIZil3BcpIysc/edit?usp=sharing"",""ศูนย์!F55"")"),946)</f>
        <v>946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IFERROR(__xludf.DUMMYFUNCTION("IMPORTRANGE(""https://docs.google.com/spreadsheets/d/1kVcqe37tkHyjCSG3S0O1AXqVkqjo8mSIZil3BcpIysc/edit?usp=sharing"",""ศูนย์!G55"")"),0)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IFERROR(__xludf.DUMMYFUNCTION("IMPORTRANGE(""https://docs.google.com/spreadsheets/d/1kVcqe37tkHyjCSG3S0O1AXqVkqjo8mSIZil3BcpIysc/edit?usp=sharing"",""ศูนย์!H55"")"),0)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1441070</v>
      </c>
      <c r="M345" s="154">
        <f t="shared" ca="1" si="155"/>
        <v>1614150</v>
      </c>
      <c r="N345" s="154">
        <f t="shared" ca="1" si="155"/>
        <v>1370137.78</v>
      </c>
      <c r="O345" s="154">
        <f t="shared" ref="O345:O353" ca="1" si="156">IF(L345&gt;0,N345*100/L345,0)</f>
        <v>95.077808850368129</v>
      </c>
      <c r="P345" s="154">
        <f t="shared" ref="P345:P353" ca="1" si="157">IF(M345&gt;0,N345*100/M345,0)</f>
        <v>84.882927856766713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1441070</v>
      </c>
      <c r="M347" s="45">
        <f t="shared" ca="1" si="158"/>
        <v>1614150</v>
      </c>
      <c r="N347" s="45">
        <f t="shared" ca="1" si="158"/>
        <v>1370137.78</v>
      </c>
      <c r="O347" s="45">
        <f t="shared" ca="1" si="156"/>
        <v>95.077808850368129</v>
      </c>
      <c r="P347" s="45">
        <f t="shared" ca="1" si="157"/>
        <v>84.882927856766713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1201270</v>
      </c>
      <c r="M348" s="38">
        <f t="shared" ca="1" si="159"/>
        <v>1374350</v>
      </c>
      <c r="N348" s="38">
        <f t="shared" ca="1" si="159"/>
        <v>1130337.78</v>
      </c>
      <c r="O348" s="38">
        <f t="shared" ca="1" si="156"/>
        <v>94.095230880651314</v>
      </c>
      <c r="P348" s="38">
        <f t="shared" ca="1" si="157"/>
        <v>82.24526357914651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IFERROR(__xludf.DUMMYFUNCTION("IMPORTRANGE(""https://docs.google.com/spreadsheets/d/1MeEWN-I1oV_STSDYn1IFDPWt_1FKiwhDph83XaGc0o0/edit?usp=sharing"",""งบพรบ!EW55"")"),1201270)</f>
        <v>1201270</v>
      </c>
      <c r="M350" s="45">
        <f ca="1">IFERROR(__xludf.DUMMYFUNCTION("IMPORTRANGE(""https://docs.google.com/spreadsheets/d/1MeEWN-I1oV_STSDYn1IFDPWt_1FKiwhDph83XaGc0o0/edit?usp=sharing"",""งบพรบ!FB55"")"),1374350)</f>
        <v>1374350</v>
      </c>
      <c r="N350" s="45">
        <f ca="1">IFERROR(__xludf.DUMMYFUNCTION("IMPORTRANGE(""https://docs.google.com/spreadsheets/d/1MeEWN-I1oV_STSDYn1IFDPWt_1FKiwhDph83XaGc0o0/edit?usp=sharing"",""งบพรบ!FD55"")"),1130337.78)</f>
        <v>1130337.78</v>
      </c>
      <c r="O350" s="45">
        <f t="shared" ca="1" si="156"/>
        <v>94.095230880651314</v>
      </c>
      <c r="P350" s="45">
        <f t="shared" ca="1" si="157"/>
        <v>82.24526357914651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239800</v>
      </c>
      <c r="M351" s="38">
        <f t="shared" ca="1" si="160"/>
        <v>239800</v>
      </c>
      <c r="N351" s="38">
        <f t="shared" ca="1" si="160"/>
        <v>239800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IFERROR(__xludf.DUMMYFUNCTION("IMPORTRANGE(""https://docs.google.com/spreadsheets/d/1MeEWN-I1oV_STSDYn1IFDPWt_1FKiwhDph83XaGc0o0/edit?usp=sharing"",""งบพรบ!EZ55"")"),239800)</f>
        <v>239800</v>
      </c>
      <c r="M353" s="45">
        <f ca="1">IFERROR(__xludf.DUMMYFUNCTION("IMPORTRANGE(""https://docs.google.com/spreadsheets/d/1MeEWN-I1oV_STSDYn1IFDPWt_1FKiwhDph83XaGc0o0/edit?usp=sharing"",""งบพรบ!FC55"")"),239800)</f>
        <v>239800</v>
      </c>
      <c r="N353" s="45">
        <f ca="1">IFERROR(__xludf.DUMMYFUNCTION("IMPORTRANGE(""https://docs.google.com/spreadsheets/d/1MeEWN-I1oV_STSDYn1IFDPWt_1FKiwhDph83XaGc0o0/edit?usp=sharing"",""งบพรบ!FE55"")"),239800)</f>
        <v>239800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IFERROR(__xludf.DUMMYFUNCTION("IMPORTRANGE(""https://docs.google.com/spreadsheets/d/1QqKyyYR6Q21VydFLVH3TRQUabQu_ym0Zz7PgGX0-kHA/edit?usp=sharing"",""แผน!EP55"")"),550)</f>
        <v>550</v>
      </c>
      <c r="J355" s="438">
        <f ca="1">J362</f>
        <v>303</v>
      </c>
      <c r="K355" s="439">
        <f ca="1">IF(I355&gt;0,J355*100/I355,0)</f>
        <v>55.090909090909093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IFERROR(__xludf.DUMMYFUNCTION("IMPORTRANGE(""https://docs.google.com/spreadsheets/d/1XWAQStnk-4SwqDmLtmXYiTMKHgktTP8We1SCoS47DrQ/edit?usp=sharing"",""จัดที่ดิน!W55"")"),558)</f>
        <v>558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IFERROR(__xludf.DUMMYFUNCTION("IMPORTRANGE(""https://docs.google.com/spreadsheets/d/1QqKyyYR6Q21VydFLVH3TRQUabQu_ym0Zz7PgGX0-kHA/edit?usp=sharing"",""แผน!EO55"")"),5500)</f>
        <v>5500</v>
      </c>
      <c r="J359" s="37">
        <f ca="1">IFERROR(__xludf.DUMMYFUNCTION("IMPORTRANGE(""https://docs.google.com/spreadsheets/d/1XWAQStnk-4SwqDmLtmXYiTMKHgktTP8We1SCoS47DrQ/edit?usp=sharing"",""จัดที่ดิน!X55"")"),7443.98)</f>
        <v>7443.98</v>
      </c>
      <c r="K359" s="38">
        <f t="shared" ca="1" si="161"/>
        <v>135.34509090909091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IFERROR(__xludf.DUMMYFUNCTION("IMPORTRANGE(""https://docs.google.com/spreadsheets/d/1QqKyyYR6Q21VydFLVH3TRQUabQu_ym0Zz7PgGX0-kHA/edit?usp=sharing"",""แผน!EP55"")"),550)</f>
        <v>550</v>
      </c>
      <c r="J360" s="37">
        <f ca="1">IFERROR(__xludf.DUMMYFUNCTION("IMPORTRANGE(""https://docs.google.com/spreadsheets/d/1XWAQStnk-4SwqDmLtmXYiTMKHgktTP8We1SCoS47DrQ/edit?usp=sharing"",""จัดที่ดิน!Y55"")"),388)</f>
        <v>388</v>
      </c>
      <c r="K360" s="38">
        <f t="shared" ca="1" si="161"/>
        <v>70.545454545454547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IFERROR(__xludf.DUMMYFUNCTION("IMPORTRANGE(""https://docs.google.com/spreadsheets/d/1XWAQStnk-4SwqDmLtmXYiTMKHgktTP8We1SCoS47DrQ/edit?usp=sharing"",""จัดที่ดิน!Z55"")"),4894.16)</f>
        <v>4894.16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IFERROR(__xludf.DUMMYFUNCTION("IMPORTRANGE(""https://docs.google.com/spreadsheets/d/1QqKyyYR6Q21VydFLVH3TRQUabQu_ym0Zz7PgGX0-kHA/edit?usp=sharing"",""แผน!EP55"")"),550)</f>
        <v>550</v>
      </c>
      <c r="J362" s="37">
        <f ca="1">IFERROR(__xludf.DUMMYFUNCTION("IMPORTRANGE(""https://docs.google.com/spreadsheets/d/1XWAQStnk-4SwqDmLtmXYiTMKHgktTP8We1SCoS47DrQ/edit?usp=sharing"",""จัดที่ดิน!AA55"")"),303)</f>
        <v>303</v>
      </c>
      <c r="K362" s="38">
        <f t="shared" ca="1" si="161"/>
        <v>55.090909090909093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IFERROR(__xludf.DUMMYFUNCTION("IMPORTRANGE(""https://docs.google.com/spreadsheets/d/1XWAQStnk-4SwqDmLtmXYiTMKHgktTP8We1SCoS47DrQ/edit?usp=sharing"",""จัดที่ดิน!AB55"")"),3932.91)</f>
        <v>3932.91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950</v>
      </c>
      <c r="J364" s="452">
        <f t="shared" ca="1" si="162"/>
        <v>548</v>
      </c>
      <c r="K364" s="453">
        <f t="shared" ca="1" si="161"/>
        <v>57.684210526315788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IFERROR(__xludf.DUMMYFUNCTION("IMPORTRANGE(""https://docs.google.com/spreadsheets/d/1QqKyyYR6Q21VydFLVH3TRQUabQu_ym0Zz7PgGX0-kHA/edit?usp=sharing"",""แผน!EJ55"")"),200)</f>
        <v>200</v>
      </c>
      <c r="J365" s="462">
        <f ca="1">J372</f>
        <v>151</v>
      </c>
      <c r="K365" s="463">
        <f t="shared" ca="1" si="161"/>
        <v>75.5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IFERROR(__xludf.DUMMYFUNCTION("IMPORTRANGE(""https://docs.google.com/spreadsheets/d/1XWAQStnk-4SwqDmLtmXYiTMKHgktTP8We1SCoS47DrQ/edit?usp=sharing"",""จัดที่ดิน!E55"")"),295)</f>
        <v>295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IFERROR(__xludf.DUMMYFUNCTION("IMPORTRANGE(""https://docs.google.com/spreadsheets/d/1QqKyyYR6Q21VydFLVH3TRQUabQu_ym0Zz7PgGX0-kHA/edit?usp=sharing"",""แผน!EI55"")"),2000)</f>
        <v>2000</v>
      </c>
      <c r="J369" s="37">
        <f ca="1">IFERROR(__xludf.DUMMYFUNCTION("IMPORTRANGE(""https://docs.google.com/spreadsheets/d/1XWAQStnk-4SwqDmLtmXYiTMKHgktTP8We1SCoS47DrQ/edit?usp=sharing"",""จัดที่ดิน!F55"")"),4692.42)</f>
        <v>4692.42</v>
      </c>
      <c r="K369" s="38">
        <f t="shared" ca="1" si="163"/>
        <v>234.62100000000001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IFERROR(__xludf.DUMMYFUNCTION("IMPORTRANGE(""https://docs.google.com/spreadsheets/d/1QqKyyYR6Q21VydFLVH3TRQUabQu_ym0Zz7PgGX0-kHA/edit?usp=sharing"",""แผน!EJ55"")"),200)</f>
        <v>200</v>
      </c>
      <c r="J370" s="37">
        <f ca="1">IFERROR(__xludf.DUMMYFUNCTION("IMPORTRANGE(""https://docs.google.com/spreadsheets/d/1XWAQStnk-4SwqDmLtmXYiTMKHgktTP8We1SCoS47DrQ/edit?usp=sharing"",""จัดที่ดิน!G55"")"),171)</f>
        <v>171</v>
      </c>
      <c r="K370" s="38">
        <f t="shared" ca="1" si="163"/>
        <v>85.5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IFERROR(__xludf.DUMMYFUNCTION("IMPORTRANGE(""https://docs.google.com/spreadsheets/d/1XWAQStnk-4SwqDmLtmXYiTMKHgktTP8We1SCoS47DrQ/edit?usp=sharing"",""จัดที่ดิน!H55"")"),2636.42)</f>
        <v>2636.42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IFERROR(__xludf.DUMMYFUNCTION("IMPORTRANGE(""https://docs.google.com/spreadsheets/d/1QqKyyYR6Q21VydFLVH3TRQUabQu_ym0Zz7PgGX0-kHA/edit?usp=sharing"",""แผน!EJ55"")"),200)</f>
        <v>200</v>
      </c>
      <c r="J372" s="37">
        <f ca="1">IFERROR(__xludf.DUMMYFUNCTION("IMPORTRANGE(""https://docs.google.com/spreadsheets/d/1XWAQStnk-4SwqDmLtmXYiTMKHgktTP8We1SCoS47DrQ/edit?usp=sharing"",""จัดที่ดิน!I55"")"),151)</f>
        <v>151</v>
      </c>
      <c r="K372" s="38">
        <f t="shared" ca="1" si="163"/>
        <v>75.5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IFERROR(__xludf.DUMMYFUNCTION("IMPORTRANGE(""https://docs.google.com/spreadsheets/d/1XWAQStnk-4SwqDmLtmXYiTMKHgktTP8We1SCoS47DrQ/edit?usp=sharing"",""จัดที่ดิน!J55"")"),2287.94)</f>
        <v>2287.94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IFERROR(__xludf.DUMMYFUNCTION("IMPORTRANGE(""https://docs.google.com/spreadsheets/d/1QqKyyYR6Q21VydFLVH3TRQUabQu_ym0Zz7PgGX0-kHA/edit?usp=sharing"",""แผน!EU55"")"),750)</f>
        <v>750</v>
      </c>
      <c r="J374" s="462">
        <f ca="1">J381</f>
        <v>397</v>
      </c>
      <c r="K374" s="463">
        <f t="shared" ca="1" si="163"/>
        <v>52.93333333333333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IFERROR(__xludf.DUMMYFUNCTION("IMPORTRANGE(""https://docs.google.com/spreadsheets/d/1XWAQStnk-4SwqDmLtmXYiTMKHgktTP8We1SCoS47DrQ/edit?usp=sharing"",""จัดที่ดิน!AH55"")"),263)</f>
        <v>263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IFERROR(__xludf.DUMMYFUNCTION("IMPORTRANGE(""https://docs.google.com/spreadsheets/d/1QqKyyYR6Q21VydFLVH3TRQUabQu_ym0Zz7PgGX0-kHA/edit?usp=sharing"",""แผน!ET55"")"),3500)</f>
        <v>3500</v>
      </c>
      <c r="J378" s="37">
        <f ca="1">IFERROR(__xludf.DUMMYFUNCTION("IMPORTRANGE(""https://docs.google.com/spreadsheets/d/1XWAQStnk-4SwqDmLtmXYiTMKHgktTP8We1SCoS47DrQ/edit?usp=sharing"",""จัดที่ดิน!AI55"")"),2751.56)</f>
        <v>2751.56</v>
      </c>
      <c r="K378" s="38">
        <f t="shared" ca="1" si="164"/>
        <v>78.616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IFERROR(__xludf.DUMMYFUNCTION("IMPORTRANGE(""https://docs.google.com/spreadsheets/d/1QqKyyYR6Q21VydFLVH3TRQUabQu_ym0Zz7PgGX0-kHA/edit?usp=sharing"",""แผน!EU55"")"),750)</f>
        <v>750</v>
      </c>
      <c r="J379" s="37">
        <f ca="1">IFERROR(__xludf.DUMMYFUNCTION("IMPORTRANGE(""https://docs.google.com/spreadsheets/d/1XWAQStnk-4SwqDmLtmXYiTMKHgktTP8We1SCoS47DrQ/edit?usp=sharing"",""จัดที่ดิน!AJ55"")"),462)</f>
        <v>462</v>
      </c>
      <c r="K379" s="38">
        <f t="shared" ca="1" si="164"/>
        <v>61.6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IFERROR(__xludf.DUMMYFUNCTION("IMPORTRANGE(""https://docs.google.com/spreadsheets/d/1XWAQStnk-4SwqDmLtmXYiTMKHgktTP8We1SCoS47DrQ/edit?usp=sharing"",""จัดที่ดิน!AK55"")"),6448.71)</f>
        <v>6448.71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IFERROR(__xludf.DUMMYFUNCTION("IMPORTRANGE(""https://docs.google.com/spreadsheets/d/1QqKyyYR6Q21VydFLVH3TRQUabQu_ym0Zz7PgGX0-kHA/edit?usp=sharing"",""แผน!EU55"")"),750)</f>
        <v>750</v>
      </c>
      <c r="J381" s="37">
        <f ca="1">IFERROR(__xludf.DUMMYFUNCTION("IMPORTRANGE(""https://docs.google.com/spreadsheets/d/1XWAQStnk-4SwqDmLtmXYiTMKHgktTP8We1SCoS47DrQ/edit?usp=sharing"",""จัดที่ดิน!AL55"")"),397)</f>
        <v>397</v>
      </c>
      <c r="K381" s="38">
        <f t="shared" ca="1" si="164"/>
        <v>52.93333333333333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IFERROR(__xludf.DUMMYFUNCTION("IMPORTRANGE(""https://docs.google.com/spreadsheets/d/1XWAQStnk-4SwqDmLtmXYiTMKHgktTP8We1SCoS47DrQ/edit?usp=sharing"",""จัดที่ดิน!AM55"")"),5835.94)</f>
        <v>5835.94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IFERROR(__xludf.DUMMYFUNCTION("IMPORTRANGE(""https://docs.google.com/spreadsheets/d/1QqKyyYR6Q21VydFLVH3TRQUabQu_ym0Zz7PgGX0-kHA/edit?usp=sharing"",""แผน!EW55"")"),50)</f>
        <v>50</v>
      </c>
      <c r="J385" s="365">
        <f ca="1">IFERROR(__xludf.DUMMYFUNCTION("IMPORTRANGE(""https://docs.google.com/spreadsheets/d/1XWAQStnk-4SwqDmLtmXYiTMKHgktTP8We1SCoS47DrQ/edit?usp=sharing"",""จัดที่ดิน!AP55"")"),7)</f>
        <v>7</v>
      </c>
      <c r="K385" s="472">
        <f ca="1">IF(I385&gt;0,J385*100/I385,0)</f>
        <v>14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IFERROR(__xludf.DUMMYFUNCTION("IMPORTRANGE(""https://docs.google.com/spreadsheets/d/1MeEWN-I1oV_STSDYn1IFDPWt_1FKiwhDph83XaGc0o0/edit?usp=sharing"",""งบพรบ!FG55"")"),0)</f>
        <v>0</v>
      </c>
      <c r="M394" s="45">
        <f ca="1">IFERROR(__xludf.DUMMYFUNCTION("IMPORTRANGE(""https://docs.google.com/spreadsheets/d/1MeEWN-I1oV_STSDYn1IFDPWt_1FKiwhDph83XaGc0o0/edit?usp=sharing"",""งบพรบ!FL55"")"),0)</f>
        <v>0</v>
      </c>
      <c r="N394" s="45">
        <f ca="1">IFERROR(__xludf.DUMMYFUNCTION("IMPORTRANGE(""https://docs.google.com/spreadsheets/d/1MeEWN-I1oV_STSDYn1IFDPWt_1FKiwhDph83XaGc0o0/edit?usp=sharing"",""งบพรบ!FN55"")"),0)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IFERROR(__xludf.DUMMYFUNCTION("IMPORTRANGE(""https://docs.google.com/spreadsheets/d/1MeEWN-I1oV_STSDYn1IFDPWt_1FKiwhDph83XaGc0o0/edit?usp=sharing"",""งบพรบ!FJ55"")"),0)</f>
        <v>0</v>
      </c>
      <c r="M397" s="45">
        <f ca="1">IFERROR(__xludf.DUMMYFUNCTION("IMPORTRANGE(""https://docs.google.com/spreadsheets/d/1MeEWN-I1oV_STSDYn1IFDPWt_1FKiwhDph83XaGc0o0/edit?usp=sharing"",""งบพรบ!FM55"")"),0)</f>
        <v>0</v>
      </c>
      <c r="N397" s="45">
        <f ca="1">IFERROR(__xludf.DUMMYFUNCTION("IMPORTRANGE(""https://docs.google.com/spreadsheets/d/1MeEWN-I1oV_STSDYn1IFDPWt_1FKiwhDph83XaGc0o0/edit?usp=sharing"",""งบพรบ!FO55"")"),0)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IFERROR(__xludf.DUMMYFUNCTION("IMPORTRANGE(""https://docs.google.com/spreadsheets/d/1MeEWN-I1oV_STSDYn1IFDPWt_1FKiwhDph83XaGc0o0/edit?usp=sharing"",""งบพรบ!FQ55"")"),0)</f>
        <v>0</v>
      </c>
      <c r="M407" s="45">
        <f ca="1">IFERROR(__xludf.DUMMYFUNCTION("IMPORTRANGE(""https://docs.google.com/spreadsheets/d/1MeEWN-I1oV_STSDYn1IFDPWt_1FKiwhDph83XaGc0o0/edit?usp=sharing"",""งบพรบ!FV55"")"),0)</f>
        <v>0</v>
      </c>
      <c r="N407" s="45">
        <f ca="1">IFERROR(__xludf.DUMMYFUNCTION("IMPORTRANGE(""https://docs.google.com/spreadsheets/d/1MeEWN-I1oV_STSDYn1IFDPWt_1FKiwhDph83XaGc0o0/edit?usp=sharing"",""งบพรบ!FX55"")"),0)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IFERROR(__xludf.DUMMYFUNCTION("IMPORTRANGE(""https://docs.google.com/spreadsheets/d/1MeEWN-I1oV_STSDYn1IFDPWt_1FKiwhDph83XaGc0o0/edit?usp=sharing"",""งบพรบ!FT55"")"),0)</f>
        <v>0</v>
      </c>
      <c r="M410" s="45">
        <f ca="1">IFERROR(__xludf.DUMMYFUNCTION("IMPORTRANGE(""https://docs.google.com/spreadsheets/d/1MeEWN-I1oV_STSDYn1IFDPWt_1FKiwhDph83XaGc0o0/edit?usp=sharing"",""งบพรบ!FW55"")"),0)</f>
        <v>0</v>
      </c>
      <c r="N410" s="45">
        <f ca="1">IFERROR(__xludf.DUMMYFUNCTION("IMPORTRANGE(""https://docs.google.com/spreadsheets/d/1MeEWN-I1oV_STSDYn1IFDPWt_1FKiwhDph83XaGc0o0/edit?usp=sharing"",""งบพรบ!FY55"")"),0)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1938698</v>
      </c>
      <c r="M414" s="518">
        <f t="shared" ca="1" si="181"/>
        <v>1938698</v>
      </c>
      <c r="N414" s="518">
        <f t="shared" si="181"/>
        <v>1492585.43</v>
      </c>
      <c r="O414" s="518">
        <f ca="1">IF(L414&gt;0,N414*100/L414,0)</f>
        <v>76.989063278550859</v>
      </c>
      <c r="P414" s="518">
        <f ca="1">IF(M414&gt;0,N414*100/M414,0)</f>
        <v>76.989063278550859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40</v>
      </c>
      <c r="J417" s="533">
        <f t="shared" ca="1" si="182"/>
        <v>40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133680</v>
      </c>
      <c r="M419" s="154">
        <f t="shared" ca="1" si="184"/>
        <v>133680</v>
      </c>
      <c r="N419" s="154">
        <f t="shared" si="184"/>
        <v>132670.1</v>
      </c>
      <c r="O419" s="154">
        <f t="shared" ref="O419:O424" ca="1" si="185">IF(L419&gt;0,N419*100/L419,0)</f>
        <v>99.244539198084979</v>
      </c>
      <c r="P419" s="154">
        <f t="shared" ref="P419:P424" ca="1" si="186">IF(M419&gt;0,N419*100/M419,0)</f>
        <v>99.244539198084979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133680</v>
      </c>
      <c r="M421" s="45">
        <f t="shared" ca="1" si="187"/>
        <v>133680</v>
      </c>
      <c r="N421" s="45">
        <f t="shared" si="187"/>
        <v>132670.1</v>
      </c>
      <c r="O421" s="45">
        <f t="shared" ca="1" si="185"/>
        <v>99.244539198084979</v>
      </c>
      <c r="P421" s="45">
        <f t="shared" ca="1" si="186"/>
        <v>99.244539198084979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133680</v>
      </c>
      <c r="M422" s="38">
        <f t="shared" ca="1" si="188"/>
        <v>133680</v>
      </c>
      <c r="N422" s="38">
        <f t="shared" si="188"/>
        <v>132670.1</v>
      </c>
      <c r="O422" s="38">
        <f t="shared" ca="1" si="185"/>
        <v>99.244539198084979</v>
      </c>
      <c r="P422" s="38">
        <f t="shared" ca="1" si="186"/>
        <v>99.244539198084979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IFERROR(__xludf.DUMMYFUNCTION("IMPORTRANGE(""https://docs.google.com/spreadsheets/d/1QqKyyYR6Q21VydFLVH3TRQUabQu_ym0Zz7PgGX0-kHA/edit?usp=sharing"",""แผน!EY55"")"),133680)</f>
        <v>133680</v>
      </c>
      <c r="M424" s="45">
        <f ca="1">L424</f>
        <v>133680</v>
      </c>
      <c r="N424" s="45">
        <f>N425+N426+N427+N428</f>
        <v>132670.1</v>
      </c>
      <c r="O424" s="45">
        <f t="shared" ca="1" si="185"/>
        <v>99.244539198084979</v>
      </c>
      <c r="P424" s="45">
        <f t="shared" ca="1" si="186"/>
        <v>99.244539198084979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102340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>129950.1-99620</f>
        <v>30330.100000000006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40</v>
      </c>
      <c r="J433" s="190">
        <f ca="1">IF(AND(J435=I435,J437=I437,J439=I439),I437+I439,IF(AND(J435=I437,J437=I437),I437,IF(AND(J435=I439,J439=I439),I439,0)))</f>
        <v>40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IFERROR(__xludf.DUMMYFUNCTION("IMPORTRANGE(""https://docs.google.com/spreadsheets/d/1QqKyyYR6Q21VydFLVH3TRQUabQu_ym0Zz7PgGX0-kHA/edit?usp=sharing"",""แผน!FC55"")"),40)</f>
        <v>40</v>
      </c>
      <c r="J435" s="546">
        <v>40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IFERROR(__xludf.DUMMYFUNCTION("IMPORTRANGE(""https://docs.google.com/spreadsheets/d/1QqKyyYR6Q21VydFLVH3TRQUabQu_ym0Zz7PgGX0-kHA/edit?usp=sharing"",""แผน!FD55"")"),20)</f>
        <v>20</v>
      </c>
      <c r="J437" s="546">
        <v>20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IFERROR(__xludf.DUMMYFUNCTION("IMPORTRANGE(""https://docs.google.com/spreadsheets/d/1QqKyyYR6Q21VydFLVH3TRQUabQu_ym0Zz7PgGX0-kHA/edit?usp=sharing"",""แผน!FE55"")"),1)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IFERROR(__xludf.DUMMYFUNCTION("IMPORTRANGE(""https://docs.google.com/spreadsheets/d/1QqKyyYR6Q21VydFLVH3TRQUabQu_ym0Zz7PgGX0-kHA/edit?usp=sharing"",""แผน!FF55"")"),20)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55</v>
      </c>
      <c r="J442" s="552">
        <f t="shared" si="195"/>
        <v>55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55</v>
      </c>
      <c r="J443" s="533">
        <f t="shared" si="196"/>
        <v>55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331500</v>
      </c>
      <c r="M444" s="191">
        <f t="shared" ca="1" si="197"/>
        <v>331500</v>
      </c>
      <c r="N444" s="191">
        <f t="shared" si="197"/>
        <v>299000</v>
      </c>
      <c r="O444" s="191">
        <f t="shared" ref="O444:O449" ca="1" si="198">IF(L444&gt;0,N444*100/L444,0)</f>
        <v>90.196078431372555</v>
      </c>
      <c r="P444" s="191">
        <f t="shared" ref="P444:P449" ca="1" si="199">IF(M444&gt;0,N444*100/M444,0)</f>
        <v>90.196078431372555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331500</v>
      </c>
      <c r="M446" s="45">
        <f t="shared" ca="1" si="200"/>
        <v>331500</v>
      </c>
      <c r="N446" s="45">
        <f t="shared" si="200"/>
        <v>299000</v>
      </c>
      <c r="O446" s="45">
        <f t="shared" ca="1" si="198"/>
        <v>90.196078431372555</v>
      </c>
      <c r="P446" s="45">
        <f t="shared" ca="1" si="199"/>
        <v>90.196078431372555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331500</v>
      </c>
      <c r="M447" s="38">
        <f t="shared" ca="1" si="201"/>
        <v>331500</v>
      </c>
      <c r="N447" s="38">
        <f t="shared" si="201"/>
        <v>299000</v>
      </c>
      <c r="O447" s="38">
        <f t="shared" ca="1" si="198"/>
        <v>90.196078431372555</v>
      </c>
      <c r="P447" s="38">
        <f t="shared" ca="1" si="199"/>
        <v>90.196078431372555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IFERROR(__xludf.DUMMYFUNCTION("IMPORTRANGE(""https://docs.google.com/spreadsheets/d/1QqKyyYR6Q21VydFLVH3TRQUabQu_ym0Zz7PgGX0-kHA/edit?usp=sharing"",""แผน!FJ55"")"),331500)</f>
        <v>331500</v>
      </c>
      <c r="M449" s="45">
        <f ca="1">L449</f>
        <v>331500</v>
      </c>
      <c r="N449" s="45">
        <f>N450+N451+N452+N453</f>
        <v>299000</v>
      </c>
      <c r="O449" s="45">
        <f t="shared" ca="1" si="198"/>
        <v>90.196078431372555</v>
      </c>
      <c r="P449" s="45">
        <f t="shared" ca="1" si="199"/>
        <v>90.196078431372555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73000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64000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117000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45000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IFERROR(__xludf.DUMMYFUNCTION("IMPORTRANGE(""https://docs.google.com/spreadsheets/d/1QqKyyYR6Q21VydFLVH3TRQUabQu_ym0Zz7PgGX0-kHA/edit?usp=sharing"",""แผน!FN55"")"),55)</f>
        <v>55</v>
      </c>
      <c r="J460" s="181">
        <v>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IFERROR(__xludf.DUMMYFUNCTION("IMPORTRANGE(""https://docs.google.com/spreadsheets/d/1QqKyyYR6Q21VydFLVH3TRQUabQu_ym0Zz7PgGX0-kHA/edit?usp=sharing"",""แผน!FO55"")"),55)</f>
        <v>55</v>
      </c>
      <c r="J462" s="181">
        <v>55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IFERROR(__xludf.DUMMYFUNCTION("IMPORTRANGE(""https://docs.google.com/spreadsheets/d/1QqKyyYR6Q21VydFLVH3TRQUabQu_ym0Zz7PgGX0-kHA/edit?usp=sharing"",""แผน!FO55"")"),55)</f>
        <v>55</v>
      </c>
      <c r="J463" s="181">
        <v>55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IFERROR(__xludf.DUMMYFUNCTION("IMPORTRANGE(""https://docs.google.com/spreadsheets/d/1QqKyyYR6Q21VydFLVH3TRQUabQu_ym0Zz7PgGX0-kHA/edit?usp=sharing"",""แผน!FN55"")"),55)</f>
        <v>55</v>
      </c>
      <c r="J464" s="181">
        <v>55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IFERROR(__xludf.DUMMYFUNCTION("IMPORTRANGE(""https://docs.google.com/spreadsheets/d/1QqKyyYR6Q21VydFLVH3TRQUabQu_ym0Zz7PgGX0-kHA/edit?usp=sharing"",""แผน!FX55"")"),131)</f>
        <v>131</v>
      </c>
      <c r="J465" s="552">
        <f>J485+J489+J492</f>
        <v>131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IFERROR(__xludf.DUMMYFUNCTION("IMPORTRANGE(""https://docs.google.com/spreadsheets/d/1QqKyyYR6Q21VydFLVH3TRQUabQu_ym0Zz7PgGX0-kHA/edit?usp=sharing"",""แผน!FW55"")"),1300)</f>
        <v>1300</v>
      </c>
      <c r="J466" s="533">
        <f>J495+J498</f>
        <v>1300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1166418</v>
      </c>
      <c r="M467" s="191">
        <f t="shared" ca="1" si="206"/>
        <v>1166418</v>
      </c>
      <c r="N467" s="191">
        <f t="shared" si="206"/>
        <v>846030.36</v>
      </c>
      <c r="O467" s="191">
        <f t="shared" ref="O467:O472" ca="1" si="207">IF(L467&gt;0,N467*100/L467,0)</f>
        <v>72.532347751835104</v>
      </c>
      <c r="P467" s="191">
        <f t="shared" ref="P467:P472" ca="1" si="208">IF(M467&gt;0,N467*100/M467,0)</f>
        <v>72.532347751835104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1166418</v>
      </c>
      <c r="M469" s="45">
        <f t="shared" ca="1" si="209"/>
        <v>1166418</v>
      </c>
      <c r="N469" s="45">
        <f t="shared" si="209"/>
        <v>846030.36</v>
      </c>
      <c r="O469" s="45">
        <f t="shared" ca="1" si="207"/>
        <v>72.532347751835104</v>
      </c>
      <c r="P469" s="45">
        <f t="shared" ca="1" si="208"/>
        <v>72.532347751835104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1166418</v>
      </c>
      <c r="M470" s="38">
        <f t="shared" ca="1" si="210"/>
        <v>1166418</v>
      </c>
      <c r="N470" s="38">
        <f t="shared" si="210"/>
        <v>846030.36</v>
      </c>
      <c r="O470" s="38">
        <f t="shared" ca="1" si="207"/>
        <v>72.532347751835104</v>
      </c>
      <c r="P470" s="38">
        <f t="shared" ca="1" si="208"/>
        <v>72.532347751835104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IFERROR(__xludf.DUMMYFUNCTION("IMPORTRANGE(""https://docs.google.com/spreadsheets/d/1QqKyyYR6Q21VydFLVH3TRQUabQu_ym0Zz7PgGX0-kHA/edit?usp=sharing"",""แผน!FS55"")"),1166418)</f>
        <v>1166418</v>
      </c>
      <c r="M472" s="45">
        <f ca="1">L472</f>
        <v>1166418</v>
      </c>
      <c r="N472" s="45">
        <f>N473+N474+N475+N476</f>
        <v>846030.36</v>
      </c>
      <c r="O472" s="45">
        <f t="shared" ca="1" si="207"/>
        <v>72.532347751835104</v>
      </c>
      <c r="P472" s="45">
        <f t="shared" ca="1" si="208"/>
        <v>72.532347751835104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148065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542100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113533.36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>833030.36-100533.36-542100-148065</f>
        <v>42332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IFERROR(__xludf.DUMMYFUNCTION("IMPORTRANGE(""https://docs.google.com/spreadsheets/d/1QqKyyYR6Q21VydFLVH3TRQUabQu_ym0Zz7PgGX0-kHA/edit?usp=sharing"",""แผน!FY55"")"),1170)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IFERROR(__xludf.DUMMYFUNCTION("IMPORTRANGE(""https://docs.google.com/spreadsheets/d/1QqKyyYR6Q21VydFLVH3TRQUabQu_ym0Zz7PgGX0-kHA/edit?usp=sharing"",""แผน!FZ55"")"),117)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IFERROR(__xludf.DUMMYFUNCTION("IMPORTRANGE(""https://docs.google.com/spreadsheets/d/1QqKyyYR6Q21VydFLVH3TRQUabQu_ym0Zz7PgGX0-kHA/edit?usp=sharing"",""แผน!GA55"")"),130)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IFERROR(__xludf.DUMMYFUNCTION("IMPORTRANGE(""https://docs.google.com/spreadsheets/d/1QqKyyYR6Q21VydFLVH3TRQUabQu_ym0Zz7PgGX0-kHA/edit?usp=sharing"",""แผน!GB55"")"),13)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IFERROR(__xludf.DUMMYFUNCTION("IMPORTRANGE(""https://docs.google.com/spreadsheets/d/1QqKyyYR6Q21VydFLVH3TRQUabQu_ym0Zz7PgGX0-kHA/edit?usp=sharing"",""แผน!FY55"")"),1170)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1170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IFERROR(__xludf.DUMMYFUNCTION("IMPORTRANGE(""https://docs.google.com/spreadsheets/d/1QqKyyYR6Q21VydFLVH3TRQUabQu_ym0Zz7PgGX0-kHA/edit?usp=sharing"",""แผน!GA55"")"),130)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130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261500</v>
      </c>
      <c r="M544" s="154">
        <f t="shared" ca="1" si="236"/>
        <v>261500</v>
      </c>
      <c r="N544" s="154">
        <f t="shared" si="236"/>
        <v>205499.97</v>
      </c>
      <c r="O544" s="154">
        <f t="shared" ref="O544:O549" ca="1" si="237">IF(L544&gt;0,N544*100/L544,0)</f>
        <v>78.585074569789668</v>
      </c>
      <c r="P544" s="154">
        <f t="shared" ref="P544:P549" ca="1" si="238">IF(M544&gt;0,N544*100/M544,0)</f>
        <v>78.585074569789668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261500</v>
      </c>
      <c r="M546" s="45">
        <f t="shared" ca="1" si="240"/>
        <v>261500</v>
      </c>
      <c r="N546" s="45">
        <f t="shared" si="240"/>
        <v>205499.97</v>
      </c>
      <c r="O546" s="45">
        <f t="shared" ca="1" si="237"/>
        <v>78.585074569789668</v>
      </c>
      <c r="P546" s="45">
        <f t="shared" ca="1" si="238"/>
        <v>78.585074569789668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261500</v>
      </c>
      <c r="M547" s="38">
        <f t="shared" ca="1" si="241"/>
        <v>261500</v>
      </c>
      <c r="N547" s="38">
        <f t="shared" si="241"/>
        <v>205499.97</v>
      </c>
      <c r="O547" s="38">
        <f t="shared" ca="1" si="237"/>
        <v>78.585074569789668</v>
      </c>
      <c r="P547" s="38">
        <f t="shared" ca="1" si="238"/>
        <v>78.585074569789668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IFERROR(__xludf.DUMMYFUNCTION("IMPORTRANGE(""https://docs.google.com/spreadsheets/d/1QqKyyYR6Q21VydFLVH3TRQUabQu_ym0Zz7PgGX0-kHA/edit?usp=sharing"",""แผน!HB55"")"),261500)</f>
        <v>261500</v>
      </c>
      <c r="M549" s="45">
        <f ca="1">L549</f>
        <v>261500</v>
      </c>
      <c r="N549" s="45">
        <f>N550+N551+N552+N553+N554</f>
        <v>205499.97</v>
      </c>
      <c r="O549" s="45">
        <f t="shared" ca="1" si="237"/>
        <v>78.585074569789668</v>
      </c>
      <c r="P549" s="45">
        <f t="shared" ca="1" si="238"/>
        <v>78.585074569789668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116566.67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88933.3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IFERROR(__xludf.DUMMYFUNCTION("IMPORTRANGE(""https://docs.google.com/spreadsheets/d/1QqKyyYR6Q21VydFLVH3TRQUabQu_ym0Zz7PgGX0-kHA/edit?usp=sharing"",""แผน!HH55"")"),0)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IFERROR(__xludf.DUMMYFUNCTION("IMPORTRANGE(""https://docs.google.com/spreadsheets/d/1QqKyyYR6Q21VydFLVH3TRQUabQu_ym0Zz7PgGX0-kHA/edit?usp=sharing"",""แผน!HG55"")"),0)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IFERROR(__xludf.DUMMYFUNCTION("IMPORTRANGE(""https://docs.google.com/spreadsheets/d/1QqKyyYR6Q21VydFLVH3TRQUabQu_ym0Zz7PgGX0-kHA/edit?usp=sharing"",""แผน!HH55"")"),0)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IFERROR(__xludf.DUMMYFUNCTION("IMPORTRANGE(""https://docs.google.com/spreadsheets/d/1QqKyyYR6Q21VydFLVH3TRQUabQu_ym0Zz7PgGX0-kHA/edit?usp=sharing"",""แผน!HG55"")"),0)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IFERROR(__xludf.DUMMYFUNCTION("IMPORTRANGE(""https://docs.google.com/spreadsheets/d/1QqKyyYR6Q21VydFLVH3TRQUabQu_ym0Zz7PgGX0-kHA/edit?usp=sharing"",""แผน!HH55"")"),0)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IFERROR(__xludf.DUMMYFUNCTION("IMPORTRANGE(""https://docs.google.com/spreadsheets/d/1QqKyyYR6Q21VydFLVH3TRQUabQu_ym0Zz7PgGX0-kHA/edit?usp=sharing"",""แผน!HG55"")"),0)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1072.8599999999999</v>
      </c>
      <c r="J592" s="627">
        <f t="shared" si="253"/>
        <v>1073</v>
      </c>
      <c r="K592" s="628">
        <f t="shared" ref="K592:K594" ca="1" si="254">IF(I592&gt;0,J592*100/I592,0)</f>
        <v>100.01304923289153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IFERROR(__xludf.DUMMYFUNCTION("IMPORTRANGE(""https://docs.google.com/spreadsheets/d/1QqKyyYR6Q21VydFLVH3TRQUabQu_ym0Zz7PgGX0-kHA/edit?usp=sharing"",""แผน!HJ55"")"),1072.86)</f>
        <v>1072.8599999999999</v>
      </c>
      <c r="J593" s="189">
        <f t="shared" ref="J593:J594" si="255">J595+J603+J609</f>
        <v>1073</v>
      </c>
      <c r="K593" s="390">
        <f t="shared" ca="1" si="254"/>
        <v>100.01304923289153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IFERROR(__xludf.DUMMYFUNCTION("IMPORTRANGE(""https://docs.google.com/spreadsheets/d/1QqKyyYR6Q21VydFLVH3TRQUabQu_ym0Zz7PgGX0-kHA/edit?usp=sharing"",""แผน!HI55"")"),165)</f>
        <v>165</v>
      </c>
      <c r="J594" s="189">
        <f t="shared" si="255"/>
        <v>166</v>
      </c>
      <c r="K594" s="390">
        <f t="shared" ca="1" si="254"/>
        <v>100.60606060606061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900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154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627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107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273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47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110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8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110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8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63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4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IFERROR(__xludf.DUMMYFUNCTION("IMPORTRANGE(""https://docs.google.com/spreadsheets/d/1QqKyyYR6Q21VydFLVH3TRQUabQu_ym0Zz7PgGX0-kHA/edit?usp=sharing"",""แผน!HL55"")"),0)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IFERROR(__xludf.DUMMYFUNCTION("IMPORTRANGE(""https://docs.google.com/spreadsheets/d/1QqKyyYR6Q21VydFLVH3TRQUabQu_ym0Zz7PgGX0-kHA/edit?usp=sharing"",""แผน!HK55"")"),0)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IFERROR(__xludf.DUMMYFUNCTION("IMPORTRANGE(""https://docs.google.com/spreadsheets/d/1QqKyyYR6Q21VydFLVH3TRQUabQu_ym0Zz7PgGX0-kHA/edit?usp=sharing"",""แผน!HN55"")"),0)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IFERROR(__xludf.DUMMYFUNCTION("IMPORTRANGE(""https://docs.google.com/spreadsheets/d/1XWAQStnk-4SwqDmLtmXYiTMKHgktTP8We1SCoS47DrQ/edit?usp=sharing"",""จัดที่ดิน!AS55"")"),55)</f>
        <v>55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IFERROR(__xludf.DUMMYFUNCTION("IMPORTRANGE(""https://docs.google.com/spreadsheets/d/1XWAQStnk-4SwqDmLtmXYiTMKHgktTP8We1SCoS47DrQ/edit?usp=sharing"",""จัดที่ดิน!AT55"")"),96.37)</f>
        <v>96.37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IFERROR(__xludf.DUMMYFUNCTION("IMPORTRANGE(""https://docs.google.com/spreadsheets/d/1QqKyyYR6Q21VydFLVH3TRQUabQu_ym0Zz7PgGX0-kHA/edit?usp=sharing"",""แผน!HS55"")"),0)</f>
        <v>0</v>
      </c>
      <c r="J647" s="37">
        <f ca="1">IFERROR(__xludf.DUMMYFUNCTION("IMPORTRANGE(""https://docs.google.com/spreadsheets/d/1XWAQStnk-4SwqDmLtmXYiTMKHgktTP8We1SCoS47DrQ/edit?usp=sharing"",""จัดที่ดิน!AU55"")"),1)</f>
        <v>1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IFERROR(__xludf.DUMMYFUNCTION("IMPORTRANGE(""https://docs.google.com/spreadsheets/d/1XWAQStnk-4SwqDmLtmXYiTMKHgktTP8We1SCoS47DrQ/edit?usp=sharing"",""จัดที่ดิน!AV55"")"),0.15)</f>
        <v>0.15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IFERROR(__xludf.DUMMYFUNCTION("IMPORTRANGE(""https://docs.google.com/spreadsheets/d/1QqKyyYR6Q21VydFLVH3TRQUabQu_ym0Zz7PgGX0-kHA/edit?usp=sharing"",""แผน!HS55"")"),0)</f>
        <v>0</v>
      </c>
      <c r="J649" s="37">
        <f ca="1">IFERROR(__xludf.DUMMYFUNCTION("IMPORTRANGE(""https://docs.google.com/spreadsheets/d/1XWAQStnk-4SwqDmLtmXYiTMKHgktTP8We1SCoS47DrQ/edit?usp=sharing"",""จัดที่ดิน!AW55"")"),0)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IFERROR(__xludf.DUMMYFUNCTION("IMPORTRANGE(""https://docs.google.com/spreadsheets/d/1QqKyyYR6Q21VydFLVH3TRQUabQu_ym0Zz7PgGX0-kHA/edit?usp=sharing"",""แผน!HS55"")"),0)</f>
        <v>0</v>
      </c>
      <c r="J651" s="37">
        <f ca="1">IFERROR(__xludf.DUMMYFUNCTION("IMPORTRANGE(""https://docs.google.com/spreadsheets/d/1XWAQStnk-4SwqDmLtmXYiTMKHgktTP8We1SCoS47DrQ/edit?usp=sharing"",""จัดที่ดิน!AY55"")"),0)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IFERROR(__xludf.DUMMYFUNCTION("IMPORTRANGE(""https://docs.google.com/spreadsheets/d/1XWAQStnk-4SwqDmLtmXYiTMKHgktTP8We1SCoS47DrQ/edit?usp=sharing"",""จัดที่ดิน!AZ55"")"),0)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100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14000</v>
      </c>
      <c r="M655" s="191">
        <f t="shared" ca="1" si="273"/>
        <v>14000</v>
      </c>
      <c r="N655" s="191">
        <f t="shared" si="273"/>
        <v>3500</v>
      </c>
      <c r="O655" s="191">
        <f t="shared" ref="O655:O660" ca="1" si="274">IF(L655&gt;0,N655*100/L655,0)</f>
        <v>25</v>
      </c>
      <c r="P655" s="191">
        <f t="shared" ref="P655:P660" ca="1" si="275">IF(M655&gt;0,N655*100/M655,0)</f>
        <v>25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14000</v>
      </c>
      <c r="M657" s="45">
        <f t="shared" ca="1" si="276"/>
        <v>14000</v>
      </c>
      <c r="N657" s="45">
        <f t="shared" si="276"/>
        <v>3500</v>
      </c>
      <c r="O657" s="45">
        <f t="shared" ca="1" si="274"/>
        <v>25</v>
      </c>
      <c r="P657" s="45">
        <f t="shared" ca="1" si="275"/>
        <v>25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14000</v>
      </c>
      <c r="M658" s="38">
        <f t="shared" ca="1" si="277"/>
        <v>14000</v>
      </c>
      <c r="N658" s="38">
        <f t="shared" si="277"/>
        <v>3500</v>
      </c>
      <c r="O658" s="38">
        <f t="shared" ca="1" si="274"/>
        <v>25</v>
      </c>
      <c r="P658" s="38">
        <f t="shared" ca="1" si="275"/>
        <v>25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IFERROR(__xludf.DUMMYFUNCTION("IMPORTRANGE(""https://docs.google.com/spreadsheets/d/1QqKyyYR6Q21VydFLVH3TRQUabQu_ym0Zz7PgGX0-kHA/edit?usp=sharing"",""แผน!HV55"")"),14000)</f>
        <v>14000</v>
      </c>
      <c r="M660" s="45">
        <f ca="1">L660</f>
        <v>14000</v>
      </c>
      <c r="N660" s="45">
        <f>N661+N662+N663+N664</f>
        <v>3500</v>
      </c>
      <c r="O660" s="45">
        <f t="shared" ca="1" si="274"/>
        <v>25</v>
      </c>
      <c r="P660" s="45">
        <f t="shared" ca="1" si="275"/>
        <v>25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f>1000+2500</f>
        <v>3500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IFERROR(__xludf.DUMMYFUNCTION("IMPORTRANGE(""https://docs.google.com/spreadsheets/d/1QqKyyYR6Q21VydFLVH3TRQUabQu_ym0Zz7PgGX0-kHA/edit?usp=sharing"",""แผน!IA55"")"),100)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IFERROR(__xludf.DUMMYFUNCTION("IMPORTRANGE(""https://docs.google.com/spreadsheets/d/1QqKyyYR6Q21VydFLVH3TRQUabQu_ym0Zz7PgGX0-kHA/edit?usp=sharing"",""แผน!HZ55"")"),5)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IFERROR(__xludf.DUMMYFUNCTION("IMPORTRANGE(""https://docs.google.com/spreadsheets/d/1QqKyyYR6Q21VydFLVH3TRQUabQu_ym0Zz7PgGX0-kHA/edit?usp=sharing"",""แผน!HZ55"")"),5)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179</v>
      </c>
      <c r="K672" s="38">
        <f t="shared" ref="K672:K675" ca="1" si="281">IF(I$669&gt;0,J672*100/I$669,0)</f>
        <v>179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179</v>
      </c>
      <c r="K673" s="38">
        <f t="shared" ca="1" si="281"/>
        <v>179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31600</v>
      </c>
      <c r="M685" s="191">
        <f t="shared" ca="1" si="282"/>
        <v>31600</v>
      </c>
      <c r="N685" s="191">
        <f t="shared" si="282"/>
        <v>5885</v>
      </c>
      <c r="O685" s="191">
        <f t="shared" ref="O685:O688" ca="1" si="283">IF(L685&gt;0,N685*100/L685,0)</f>
        <v>18.623417721518987</v>
      </c>
      <c r="P685" s="191">
        <f t="shared" ref="P685:P688" ca="1" si="284">IF(M685&gt;0,N685*100/M685,0)</f>
        <v>18.623417721518987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31600</v>
      </c>
      <c r="M687" s="45">
        <f t="shared" ca="1" si="285"/>
        <v>31600</v>
      </c>
      <c r="N687" s="45">
        <f t="shared" si="285"/>
        <v>5885</v>
      </c>
      <c r="O687" s="45">
        <f t="shared" ca="1" si="283"/>
        <v>18.623417721518987</v>
      </c>
      <c r="P687" s="45">
        <f t="shared" ca="1" si="284"/>
        <v>18.623417721518987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31600</v>
      </c>
      <c r="M688" s="38">
        <f t="shared" ca="1" si="286"/>
        <v>31600</v>
      </c>
      <c r="N688" s="38">
        <f t="shared" si="286"/>
        <v>5885</v>
      </c>
      <c r="O688" s="38">
        <f t="shared" ca="1" si="283"/>
        <v>18.623417721518987</v>
      </c>
      <c r="P688" s="38">
        <f t="shared" ca="1" si="284"/>
        <v>18.623417721518987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IFERROR(__xludf.DUMMYFUNCTION("IMPORTRANGE(""https://docs.google.com/spreadsheets/d/1QqKyyYR6Q21VydFLVH3TRQUabQu_ym0Zz7PgGX0-kHA/edit?usp=sharing"",""แผน!HW55"")"),31600)</f>
        <v>31600</v>
      </c>
      <c r="M690" s="45">
        <f ca="1">L690</f>
        <v>31600</v>
      </c>
      <c r="N690" s="45">
        <f>N691+N692+N693+N694</f>
        <v>5885</v>
      </c>
      <c r="O690" s="45">
        <f ca="1">IF(L690&gt;0,N690*100/L690,0)</f>
        <v>18.623417721518987</v>
      </c>
      <c r="P690" s="45">
        <f ca="1">IF(M690&gt;0,N690*100/M690,0)</f>
        <v>18.623417721518987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5885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IFERROR(__xludf.DUMMYFUNCTION("IMPORTRANGE(""https://docs.google.com/spreadsheets/d/1QqKyyYR6Q21VydFLVH3TRQUabQu_ym0Zz7PgGX0-kHA/edit?usp=sharing"",""แผน!IC55"")"),0)</f>
        <v>0</v>
      </c>
      <c r="J699" s="37">
        <f ca="1">IFERROR(__xludf.DUMMYFUNCTION("IMPORTRANGE(""https://docs.google.com/spreadsheets/d/1XWAQStnk-4SwqDmLtmXYiTMKHgktTP8We1SCoS47DrQ/edit?usp=sharing"",""จัดที่ดิน!BB55"")"),0)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IFERROR(__xludf.DUMMYFUNCTION("IMPORTRANGE(""https://docs.google.com/spreadsheets/d/1QqKyyYR6Q21VydFLVH3TRQUabQu_ym0Zz7PgGX0-kHA/edit?usp=sharing"",""แผน!ID55"")"),0)</f>
        <v>0</v>
      </c>
      <c r="J700" s="37">
        <f ca="1">IFERROR(__xludf.DUMMYFUNCTION("IMPORTRANGE(""https://docs.google.com/spreadsheets/d/1XWAQStnk-4SwqDmLtmXYiTMKHgktTP8We1SCoS47DrQ/edit?usp=sharing"",""จัดที่ดิน!BD55"")"),0)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IFERROR(__xludf.DUMMYFUNCTION("IMPORTRANGE(""https://docs.google.com/spreadsheets/d/1QqKyyYR6Q21VydFLVH3TRQUabQu_ym0Zz7PgGX0-kHA/edit?usp=sharing"",""แผน!IE55"")"),300)</f>
        <v>300</v>
      </c>
      <c r="J701" s="190">
        <f>J704+J707</f>
        <v>97</v>
      </c>
      <c r="K701" s="191">
        <f t="shared" ca="1" si="290"/>
        <v>32.333333333333336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7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9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IFERROR(__xludf.DUMMYFUNCTION("IMPORTRANGE(""https://docs.google.com/spreadsheets/d/1QqKyyYR6Q21VydFLVH3TRQUabQu_ym0Zz7PgGX0-kHA/edit?usp=sharing"",""แผน!IF55"")"),300)</f>
        <v>300</v>
      </c>
      <c r="J704" s="181">
        <v>97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IFERROR(__xludf.DUMMYFUNCTION("IMPORTRANGE(""https://docs.google.com/spreadsheets/d/1QqKyyYR6Q21VydFLVH3TRQUabQu_ym0Zz7PgGX0-kHA/edit?usp=sharing"",""แผน!IG55"")"),0)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IFERROR(__xludf.DUMMYFUNCTION("IMPORTRANGE(""https://docs.google.com/spreadsheets/d/1QqKyyYR6Q21VydFLVH3TRQUabQu_ym0Zz7PgGX0-kHA/edit?usp=sharing"",""แผน!IH55"")"),150)</f>
        <v>150</v>
      </c>
      <c r="J708" s="190">
        <f>J714+J717</f>
        <v>151</v>
      </c>
      <c r="K708" s="191">
        <f ca="1">IF(I708&gt;0,J708*100/I708,0)</f>
        <v>100.66666666666667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3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51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20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20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100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8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8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51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IFERROR(__xludf.DUMMYFUNCTION("IMPORTRANGE(""https://docs.google.com/spreadsheets/d/1XWAQStnk-4SwqDmLtmXYiTMKHgktTP8We1SCoS47DrQ/edit?usp=sharing"",""จัดที่ดิน!BF55"")"),0)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IFERROR(__xludf.DUMMYFUNCTION("IMPORTRANGE(""https://docs.google.com/spreadsheets/d/1XWAQStnk-4SwqDmLtmXYiTMKHgktTP8We1SCoS47DrQ/edit?usp=sharing"",""จัดที่ดิน!BG55"")"),0)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IFERROR(__xludf.DUMMYFUNCTION("IMPORTRANGE(""https://docs.google.com/spreadsheets/d/1QqKyyYR6Q21VydFLVH3TRQUabQu_ym0Zz7PgGX0-kHA/edit?usp=sharing"",""แผน!II55"")"),80)</f>
        <v>80</v>
      </c>
      <c r="J720" s="37">
        <f ca="1">IFERROR(__xludf.DUMMYFUNCTION("IMPORTRANGE(""https://docs.google.com/spreadsheets/d/1XWAQStnk-4SwqDmLtmXYiTMKHgktTP8We1SCoS47DrQ/edit?usp=sharing"",""จัดที่ดิน!BH55"")"),0)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IFERROR(__xludf.DUMMYFUNCTION("IMPORTRANGE(""https://docs.google.com/spreadsheets/d/1QqKyyYR6Q21VydFLVH3TRQUabQu_ym0Zz7PgGX0-kHA/edit?usp=sharing"",""แผน!IJ55"")"),35)</f>
        <v>35</v>
      </c>
      <c r="J721" s="190">
        <f ca="1">J723+J726</f>
        <v>24</v>
      </c>
      <c r="K721" s="191">
        <f t="shared" ca="1" si="291"/>
        <v>68.571428571428569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IFERROR(__xludf.DUMMYFUNCTION("IMPORTRANGE(""https://docs.google.com/spreadsheets/d/1QqKyyYR6Q21VydFLVH3TRQUabQu_ym0Zz7PgGX0-kHA/edit?usp=sharing"",""แผน!IK55"")"),350)</f>
        <v>350</v>
      </c>
      <c r="J722" s="190">
        <f ca="1">J725+J728</f>
        <v>262.36</v>
      </c>
      <c r="K722" s="191">
        <f t="shared" ca="1" si="291"/>
        <v>74.959999999999994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IFERROR(__xludf.DUMMYFUNCTION("IMPORTRANGE(""https://docs.google.com/spreadsheets/d/1QqKyyYR6Q21VydFLVH3TRQUabQu_ym0Zz7PgGX0-kHA/edit?usp=sharing"",""แผน!IL55"")"),30)</f>
        <v>30</v>
      </c>
      <c r="J723" s="37">
        <f ca="1">IFERROR(__xludf.DUMMYFUNCTION("IMPORTRANGE(""https://docs.google.com/spreadsheets/d/1XWAQStnk-4SwqDmLtmXYiTMKHgktTP8We1SCoS47DrQ/edit?usp=sharing"",""จัดที่ดิน!BM55"")"),24)</f>
        <v>24</v>
      </c>
      <c r="K723" s="38">
        <f t="shared" ca="1" si="291"/>
        <v>80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IFERROR(__xludf.DUMMYFUNCTION("IMPORTRANGE(""https://docs.google.com/spreadsheets/d/1XWAQStnk-4SwqDmLtmXYiTMKHgktTP8We1SCoS47DrQ/edit?usp=sharing"",""จัดที่ดิน!BN55"")"),33)</f>
        <v>33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IFERROR(__xludf.DUMMYFUNCTION("IMPORTRANGE(""https://docs.google.com/spreadsheets/d/1QqKyyYR6Q21VydFLVH3TRQUabQu_ym0Zz7PgGX0-kHA/edit?usp=sharing"",""แผน!IM55"")"),300)</f>
        <v>300</v>
      </c>
      <c r="J725" s="37">
        <f ca="1">IFERROR(__xludf.DUMMYFUNCTION("IMPORTRANGE(""https://docs.google.com/spreadsheets/d/1XWAQStnk-4SwqDmLtmXYiTMKHgktTP8We1SCoS47DrQ/edit?usp=sharing"",""จัดที่ดิน!BO55"")"),262.36)</f>
        <v>262.36</v>
      </c>
      <c r="K725" s="38">
        <f t="shared" ref="K725:K726" ca="1" si="292">IF(I725&gt;0,J725*100/I725,0)</f>
        <v>87.453333333333333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IFERROR(__xludf.DUMMYFUNCTION("IMPORTRANGE(""https://docs.google.com/spreadsheets/d/1QqKyyYR6Q21VydFLVH3TRQUabQu_ym0Zz7PgGX0-kHA/edit?usp=sharing"",""แผน!IN55"")"),5)</f>
        <v>5</v>
      </c>
      <c r="J726" s="37">
        <f ca="1">IFERROR(__xludf.DUMMYFUNCTION("IMPORTRANGE(""https://docs.google.com/spreadsheets/d/1XWAQStnk-4SwqDmLtmXYiTMKHgktTP8We1SCoS47DrQ/edit?usp=sharing"",""จัดที่ดิน!BR55"")"),0)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IFERROR(__xludf.DUMMYFUNCTION("IMPORTRANGE(""https://docs.google.com/spreadsheets/d/1XWAQStnk-4SwqDmLtmXYiTMKHgktTP8We1SCoS47DrQ/edit?usp=sharing"",""จัดที่ดิน!BS55"")"),0)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IFERROR(__xludf.DUMMYFUNCTION("IMPORTRANGE(""https://docs.google.com/spreadsheets/d/1QqKyyYR6Q21VydFLVH3TRQUabQu_ym0Zz7PgGX0-kHA/edit?usp=sharing"",""แผน!IO55"")"),50)</f>
        <v>50</v>
      </c>
      <c r="J728" s="37">
        <f ca="1">IFERROR(__xludf.DUMMYFUNCTION("IMPORTRANGE(""https://docs.google.com/spreadsheets/d/1XWAQStnk-4SwqDmLtmXYiTMKHgktTP8We1SCoS47DrQ/edit?usp=sharing"",""จัดที่ดิน!BT55"")"),0)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IFERROR(__xludf.DUMMYFUNCTION("IMPORTRANGE(""https://docs.google.com/spreadsheets/d/1QqKyyYR6Q21VydFLVH3TRQUabQu_ym0Zz7PgGX0-kHA/edit?usp=sharing"",""แผน!IP55"")"),100)</f>
        <v>100</v>
      </c>
      <c r="J729" s="190">
        <f>J732+J735</f>
        <v>29</v>
      </c>
      <c r="K729" s="191">
        <f t="shared" ca="1" si="293"/>
        <v>29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1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1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2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1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1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27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IFERROR(__xludf.DUMMYFUNCTION("IMPORTRANGE(""https://docs.google.com/spreadsheets/d/1QqKyyYR6Q21VydFLVH3TRQUabQu_ym0Zz7PgGX0-kHA/edit?usp=sharing"",""แผน!JN55"")"),0)</f>
        <v>0</v>
      </c>
      <c r="J800" s="161">
        <f ca="1">IFERROR(__xludf.DUMMYFUNCTION("IMPORTRANGE(""https://docs.google.com/spreadsheets/d/1MaWodYyGHDf7siQLGxnXhG4mBNTNIuy296niS2xXulU/edit?usp=sharing"",""RTK!H55"")"),0)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IFERROR(__xludf.DUMMYFUNCTION("IMPORTRANGE(""https://docs.google.com/spreadsheets/d/1MaWodYyGHDf7siQLGxnXhG4mBNTNIuy296niS2xXulU/edit?usp=sharing"",""RTK!I55"")"),0)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37">
        <f ca="1">IFERROR(__xludf.DUMMYFUNCTION("IMPORTRANGE(""https://docs.google.com/spreadsheets/d/19vJNZY_5yjcGF2XGBMNZRCAIB0Kwfpjp8YEOfu-bneM/edit?usp=sharing"",""งานกองทุน!F55"")"),3576606.31)</f>
        <v>3576606.31</v>
      </c>
      <c r="K821" s="38">
        <f t="shared" ref="K821:K828" ca="1" si="335">IF(I821&gt;0,J821*100/I821,0)</f>
        <v>72.055843345272223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IFERROR(__xludf.DUMMYFUNCTION("IMPORTRANGE(""https://docs.google.com/spreadsheets/d/19vJNZY_5yjcGF2XGBMNZRCAIB0Kwfpjp8YEOfu-bneM/edit?usp=sharing"",""งานกองทุน!C55"")"),213)</f>
        <v>213</v>
      </c>
      <c r="J822" s="37">
        <f ca="1">IFERROR(__xludf.DUMMYFUNCTION("IMPORTRANGE(""https://docs.google.com/spreadsheets/d/19vJNZY_5yjcGF2XGBMNZRCAIB0Kwfpjp8YEOfu-bneM/edit?usp=sharing"",""งานกองทุน!E55"")"),157)</f>
        <v>157</v>
      </c>
      <c r="K822" s="38">
        <f t="shared" ca="1" si="335"/>
        <v>73.708920187793424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37">
        <f ca="1">IFERROR(__xludf.DUMMYFUNCTION("IMPORTRANGE(""https://docs.google.com/spreadsheets/d/19vJNZY_5yjcGF2XGBMNZRCAIB0Kwfpjp8YEOfu-bneM/edit?usp=sharing"",""งานกองทุน!K55"")"),753030.44)</f>
        <v>753030.44</v>
      </c>
      <c r="K823" s="38">
        <f t="shared" ca="1" si="335"/>
        <v>7.5984097137033038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IFERROR(__xludf.DUMMYFUNCTION("IMPORTRANGE(""https://docs.google.com/spreadsheets/d/19vJNZY_5yjcGF2XGBMNZRCAIB0Kwfpjp8YEOfu-bneM/edit?usp=sharing"",""งานกองทุน!H55"")"),243)</f>
        <v>243</v>
      </c>
      <c r="J824" s="37">
        <f ca="1">IFERROR(__xludf.DUMMYFUNCTION("IMPORTRANGE(""https://docs.google.com/spreadsheets/d/19vJNZY_5yjcGF2XGBMNZRCAIB0Kwfpjp8YEOfu-bneM/edit?usp=sharing"",""งานกองทุน!J55"")"),78)</f>
        <v>78</v>
      </c>
      <c r="K824" s="38">
        <f t="shared" ca="1" si="335"/>
        <v>32.098765432098766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37">
        <f ca="1">IFERROR(__xludf.DUMMYFUNCTION("IMPORTRANGE(""https://docs.google.com/spreadsheets/d/19vJNZY_5yjcGF2XGBMNZRCAIB0Kwfpjp8YEOfu-bneM/edit?usp=sharing"",""งานกองทุน!P55"")"),2791637.84)</f>
        <v>2791637.84</v>
      </c>
      <c r="K825" s="38">
        <f t="shared" ca="1" si="335"/>
        <v>48.983147521784176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IFERROR(__xludf.DUMMYFUNCTION("IMPORTRANGE(""https://docs.google.com/spreadsheets/d/19vJNZY_5yjcGF2XGBMNZRCAIB0Kwfpjp8YEOfu-bneM/edit?usp=sharing"",""งานกองทุน!M55"")"),2611)</f>
        <v>2611</v>
      </c>
      <c r="J826" s="37">
        <f ca="1">IFERROR(__xludf.DUMMYFUNCTION("IMPORTRANGE(""https://docs.google.com/spreadsheets/d/19vJNZY_5yjcGF2XGBMNZRCAIB0Kwfpjp8YEOfu-bneM/edit?usp=sharing"",""งานกองทุน!O55"")"),1792)</f>
        <v>1792</v>
      </c>
      <c r="K826" s="38">
        <f t="shared" ca="1" si="335"/>
        <v>68.632707774798931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IFERROR(__xludf.DUMMYFUNCTION("IMPORTRANGE(""https://docs.google.com/spreadsheets/d/19vJNZY_5yjcGF2XGBMNZRCAIB0Kwfpjp8YEOfu-bneM/edit?usp=sharing"",""งานกองทุน!S55"")"),3000000)</f>
        <v>3000000</v>
      </c>
      <c r="J827" s="37">
        <f ca="1">IFERROR(__xludf.DUMMYFUNCTION("IMPORTRANGE(""https://docs.google.com/spreadsheets/d/19vJNZY_5yjcGF2XGBMNZRCAIB0Kwfpjp8YEOfu-bneM/edit?usp=sharing"",""งานกองทุน!U55"")"),3570000)</f>
        <v>3570000</v>
      </c>
      <c r="K827" s="38">
        <f t="shared" ca="1" si="335"/>
        <v>119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IFERROR(__xludf.DUMMYFUNCTION("IMPORTRANGE(""https://docs.google.com/spreadsheets/d/19vJNZY_5yjcGF2XGBMNZRCAIB0Kwfpjp8YEOfu-bneM/edit?usp=sharing"",""งานกองทุน!R55"")"),119)</f>
        <v>119</v>
      </c>
      <c r="J828" s="365">
        <f ca="1">IFERROR(__xludf.DUMMYFUNCTION("IMPORTRANGE(""https://docs.google.com/spreadsheets/d/19vJNZY_5yjcGF2XGBMNZRCAIB0Kwfpjp8YEOfu-bneM/edit?usp=sharing"",""งานกองทุน!T55"")"),119)</f>
        <v>119</v>
      </c>
      <c r="K828" s="472">
        <f t="shared" ca="1" si="335"/>
        <v>100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18238-4692-46F6-ACDB-37E5949D8EC8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2.36328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338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5415620</v>
      </c>
      <c r="N8" s="22">
        <f t="shared" ca="1" si="0"/>
        <v>4882783.96</v>
      </c>
      <c r="O8" s="22">
        <f t="shared" ref="O8:O16" ca="1" si="1">IF(L8&gt;0,N8*100/L8,0)</f>
        <v>91.846964862420023</v>
      </c>
      <c r="P8" s="22">
        <f t="shared" ref="P8:P16" ca="1" si="2">IF(M8&gt;0,N8*100/M8,0)</f>
        <v>90.16112578061238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5415620</v>
      </c>
      <c r="N10" s="30">
        <f t="shared" ca="1" si="3"/>
        <v>4882783.96</v>
      </c>
      <c r="O10" s="30">
        <f t="shared" ca="1" si="1"/>
        <v>91.846964862420023</v>
      </c>
      <c r="P10" s="30">
        <f t="shared" ca="1" si="2"/>
        <v>90.16112578061238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4375317</v>
      </c>
      <c r="M11" s="38">
        <f t="shared" ca="1" si="4"/>
        <v>4444720</v>
      </c>
      <c r="N11" s="38">
        <f t="shared" ca="1" si="4"/>
        <v>3911883.96</v>
      </c>
      <c r="O11" s="38">
        <f t="shared" ca="1" si="1"/>
        <v>89.408012265168438</v>
      </c>
      <c r="P11" s="38">
        <f t="shared" ca="1" si="2"/>
        <v>88.011932360193669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4375317</v>
      </c>
      <c r="M13" s="45">
        <f t="shared" ca="1" si="5"/>
        <v>4444720</v>
      </c>
      <c r="N13" s="45">
        <f t="shared" ca="1" si="5"/>
        <v>3911883.96</v>
      </c>
      <c r="O13" s="45">
        <f t="shared" ca="1" si="1"/>
        <v>89.408012265168438</v>
      </c>
      <c r="P13" s="45">
        <f t="shared" ca="1" si="2"/>
        <v>88.011932360193669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940900</v>
      </c>
      <c r="M14" s="38">
        <f t="shared" ca="1" si="6"/>
        <v>970900</v>
      </c>
      <c r="N14" s="38">
        <f t="shared" ca="1" si="6"/>
        <v>970900</v>
      </c>
      <c r="O14" s="38">
        <f t="shared" ca="1" si="1"/>
        <v>103.1884366032522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970900</v>
      </c>
      <c r="N16" s="52">
        <f t="shared" ca="1" si="7"/>
        <v>970900</v>
      </c>
      <c r="O16" s="52">
        <f t="shared" ca="1" si="1"/>
        <v>103.1884366032522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4036162</v>
      </c>
      <c r="N18" s="22">
        <f t="shared" ca="1" si="8"/>
        <v>3700792.61</v>
      </c>
      <c r="O18" s="22">
        <f t="shared" ref="O18:O26" ca="1" si="9">IF(L18&gt;0,N18*100/L18,0)</f>
        <v>94.121791674752203</v>
      </c>
      <c r="P18" s="22">
        <f t="shared" ref="P18:P26" ca="1" si="10">IF(M18&gt;0,N18*100/M18,0)</f>
        <v>91.690883814871654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4036162</v>
      </c>
      <c r="N20" s="30">
        <f t="shared" ca="1" si="11"/>
        <v>3700792.61</v>
      </c>
      <c r="O20" s="30">
        <f t="shared" ca="1" si="9"/>
        <v>94.121791674752203</v>
      </c>
      <c r="P20" s="30">
        <f t="shared" ca="1" si="10"/>
        <v>91.690883814871654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2991019</v>
      </c>
      <c r="M21" s="38">
        <f t="shared" ca="1" si="12"/>
        <v>3065262</v>
      </c>
      <c r="N21" s="38">
        <f t="shared" ca="1" si="12"/>
        <v>2729892.61</v>
      </c>
      <c r="O21" s="38">
        <f t="shared" ca="1" si="9"/>
        <v>91.269651245946619</v>
      </c>
      <c r="P21" s="38">
        <f t="shared" ca="1" si="10"/>
        <v>89.059030190567725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2991019</v>
      </c>
      <c r="M23" s="45">
        <f t="shared" ca="1" si="13"/>
        <v>3065262</v>
      </c>
      <c r="N23" s="45">
        <f t="shared" ca="1" si="13"/>
        <v>2729892.61</v>
      </c>
      <c r="O23" s="45">
        <f t="shared" ca="1" si="9"/>
        <v>91.269651245946619</v>
      </c>
      <c r="P23" s="45">
        <f t="shared" ca="1" si="10"/>
        <v>89.059030190567725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940900</v>
      </c>
      <c r="M24" s="38">
        <f t="shared" ca="1" si="14"/>
        <v>970900</v>
      </c>
      <c r="N24" s="38">
        <f t="shared" ca="1" si="14"/>
        <v>970900</v>
      </c>
      <c r="O24" s="38">
        <f t="shared" ca="1" si="9"/>
        <v>103.1884366032522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970900</v>
      </c>
      <c r="N26" s="52">
        <f t="shared" ca="1" si="15"/>
        <v>970900</v>
      </c>
      <c r="O26" s="52">
        <f t="shared" ca="1" si="9"/>
        <v>103.1884366032522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1181991.3500000001</v>
      </c>
      <c r="O28" s="22">
        <f t="shared" ref="O28:O37" ca="1" si="17">IF(L28&gt;0,N28*100/L28,0)</f>
        <v>85.38561422468284</v>
      </c>
      <c r="P28" s="22">
        <f t="shared" ref="P28:P37" ca="1" si="18">IF(M28&gt;0,N28*100/M28,0)</f>
        <v>85.685200274310645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1181991.3500000001</v>
      </c>
      <c r="O30" s="30">
        <f t="shared" ca="1" si="17"/>
        <v>85.38561422468284</v>
      </c>
      <c r="P30" s="30">
        <f t="shared" ca="1" si="18"/>
        <v>85.685200274310645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1384298</v>
      </c>
      <c r="M31" s="38">
        <f t="shared" ca="1" si="20"/>
        <v>1379458</v>
      </c>
      <c r="N31" s="38">
        <f t="shared" si="20"/>
        <v>1181991.3500000001</v>
      </c>
      <c r="O31" s="38">
        <f t="shared" ca="1" si="17"/>
        <v>85.38561422468284</v>
      </c>
      <c r="P31" s="38">
        <f t="shared" ca="1" si="18"/>
        <v>85.685200274310645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1384298</v>
      </c>
      <c r="M33" s="45">
        <f t="shared" ca="1" si="21"/>
        <v>1379458</v>
      </c>
      <c r="N33" s="45">
        <f t="shared" si="21"/>
        <v>1181991.3500000001</v>
      </c>
      <c r="O33" s="45">
        <f t="shared" ca="1" si="17"/>
        <v>85.38561422468284</v>
      </c>
      <c r="P33" s="45">
        <f t="shared" ca="1" si="18"/>
        <v>85.685200274310645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4036162</v>
      </c>
      <c r="N37" s="59">
        <f t="shared" ca="1" si="24"/>
        <v>3700792.61</v>
      </c>
      <c r="O37" s="59">
        <f t="shared" ca="1" si="17"/>
        <v>94.121791674752203</v>
      </c>
      <c r="P37" s="59">
        <f t="shared" ca="1" si="18"/>
        <v>91.690883814871654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544187</v>
      </c>
      <c r="N41" s="85">
        <f t="shared" ca="1" si="25"/>
        <v>436575</v>
      </c>
      <c r="O41" s="85">
        <f t="shared" ref="O41:O49" ca="1" si="26">IF(L41&gt;0,N41*100/L41,0)</f>
        <v>77.594158954498354</v>
      </c>
      <c r="P41" s="85">
        <f t="shared" ref="P41:P49" ca="1" si="27">IF(M41&gt;0,N41*100/M41,0)</f>
        <v>80.225179947334283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544187</v>
      </c>
      <c r="N43" s="92">
        <f t="shared" ca="1" si="28"/>
        <v>436575</v>
      </c>
      <c r="O43" s="92">
        <f t="shared" ca="1" si="26"/>
        <v>77.594158954498354</v>
      </c>
      <c r="P43" s="92">
        <f t="shared" ca="1" si="27"/>
        <v>80.225179947334283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562639</v>
      </c>
      <c r="M44" s="38">
        <f t="shared" ca="1" si="29"/>
        <v>544187</v>
      </c>
      <c r="N44" s="38">
        <f t="shared" ca="1" si="29"/>
        <v>436575</v>
      </c>
      <c r="O44" s="38">
        <f t="shared" ca="1" si="26"/>
        <v>77.594158954498354</v>
      </c>
      <c r="P44" s="38">
        <f t="shared" ca="1" si="27"/>
        <v>80.225179947334283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IFERROR(__xludf.DUMMYFUNCTION("IMPORTRANGE(""https://docs.google.com/spreadsheets/d/1MeEWN-I1oV_STSDYn1IFDPWt_1FKiwhDph83XaGc0o0/edit?usp=sharing"",""งบพรบ!M56"")"),562639)</f>
        <v>562639</v>
      </c>
      <c r="M46" s="45">
        <f ca="1">IFERROR(__xludf.DUMMYFUNCTION("IMPORTRANGE(""https://docs.google.com/spreadsheets/d/1MeEWN-I1oV_STSDYn1IFDPWt_1FKiwhDph83XaGc0o0/edit?usp=sharing"",""งบพรบ!R56"")"),544187)</f>
        <v>544187</v>
      </c>
      <c r="N46" s="45">
        <f ca="1">IFERROR(__xludf.DUMMYFUNCTION("IMPORTRANGE(""https://docs.google.com/spreadsheets/d/1MeEWN-I1oV_STSDYn1IFDPWt_1FKiwhDph83XaGc0o0/edit?usp=sharing"",""งบพรบ!T56"")"),436575)</f>
        <v>436575</v>
      </c>
      <c r="O46" s="45">
        <f t="shared" ca="1" si="26"/>
        <v>77.594158954498354</v>
      </c>
      <c r="P46" s="45">
        <f t="shared" ca="1" si="27"/>
        <v>80.225179947334283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752500</v>
      </c>
      <c r="M53" s="115">
        <f t="shared" ca="1" si="31"/>
        <v>770500</v>
      </c>
      <c r="N53" s="115">
        <f t="shared" ca="1" si="31"/>
        <v>745132.44</v>
      </c>
      <c r="O53" s="115">
        <f t="shared" ref="O53:O61" ca="1" si="32">IF(L53&gt;0,N53*100/L53,0)</f>
        <v>99.020922259136213</v>
      </c>
      <c r="P53" s="115">
        <f t="shared" ref="P53:P61" ca="1" si="33">IF(M53&gt;0,N53*100/M53,0)</f>
        <v>96.707649578195984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752500</v>
      </c>
      <c r="M55" s="122">
        <f t="shared" ca="1" si="34"/>
        <v>770500</v>
      </c>
      <c r="N55" s="122">
        <f t="shared" ca="1" si="34"/>
        <v>745132.44</v>
      </c>
      <c r="O55" s="122">
        <f t="shared" ca="1" si="32"/>
        <v>99.020922259136213</v>
      </c>
      <c r="P55" s="122">
        <f t="shared" ca="1" si="33"/>
        <v>96.707649578195984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706600</v>
      </c>
      <c r="M56" s="38">
        <f t="shared" ca="1" si="35"/>
        <v>724600</v>
      </c>
      <c r="N56" s="38">
        <f t="shared" ca="1" si="35"/>
        <v>699232.44</v>
      </c>
      <c r="O56" s="38">
        <f t="shared" ca="1" si="32"/>
        <v>98.957322388904615</v>
      </c>
      <c r="P56" s="38">
        <f t="shared" ca="1" si="33"/>
        <v>96.499094672922993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IFERROR(__xludf.DUMMYFUNCTION("IMPORTRANGE(""https://docs.google.com/spreadsheets/d/1MeEWN-I1oV_STSDYn1IFDPWt_1FKiwhDph83XaGc0o0/edit?usp=sharing"",""งบพรบ!W56"")"),706600)</f>
        <v>706600</v>
      </c>
      <c r="M58" s="45">
        <f ca="1">IFERROR(__xludf.DUMMYFUNCTION("IMPORTRANGE(""https://docs.google.com/spreadsheets/d/1MeEWN-I1oV_STSDYn1IFDPWt_1FKiwhDph83XaGc0o0/edit?usp=sharing"",""งบพรบ!AB56"")"),724600)</f>
        <v>724600</v>
      </c>
      <c r="N58" s="45">
        <f ca="1">IFERROR(__xludf.DUMMYFUNCTION("IMPORTRANGE(""https://docs.google.com/spreadsheets/d/1MeEWN-I1oV_STSDYn1IFDPWt_1FKiwhDph83XaGc0o0/edit?usp=sharing"",""งบพรบ!AD56"")"),699232.44)</f>
        <v>699232.44</v>
      </c>
      <c r="O58" s="45">
        <f t="shared" ca="1" si="32"/>
        <v>98.957322388904615</v>
      </c>
      <c r="P58" s="45">
        <f t="shared" ca="1" si="33"/>
        <v>96.499094672922993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45900</v>
      </c>
      <c r="M59" s="38">
        <f t="shared" ca="1" si="36"/>
        <v>45900</v>
      </c>
      <c r="N59" s="38">
        <f t="shared" ca="1" si="36"/>
        <v>45900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IFERROR(__xludf.DUMMYFUNCTION("IMPORTRANGE(""https://docs.google.com/spreadsheets/d/1MeEWN-I1oV_STSDYn1IFDPWt_1FKiwhDph83XaGc0o0/edit?usp=sharing"",""งบพรบ!AG56"")"),0)</f>
        <v>0</v>
      </c>
      <c r="M71" s="45">
        <f ca="1">IFERROR(__xludf.DUMMYFUNCTION("IMPORTRANGE(""https://docs.google.com/spreadsheets/d/1MeEWN-I1oV_STSDYn1IFDPWt_1FKiwhDph83XaGc0o0/edit?usp=sharing"",""งบพรบ!AL56"")"),0)</f>
        <v>0</v>
      </c>
      <c r="N71" s="45">
        <f ca="1">IFERROR(__xludf.DUMMYFUNCTION("IMPORTRANGE(""https://docs.google.com/spreadsheets/d/1MeEWN-I1oV_STSDYn1IFDPWt_1FKiwhDph83XaGc0o0/edit?usp=sharing"",""งบพรบ!AN56"")"),0)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IFERROR(__xludf.DUMMYFUNCTION("IMPORTRANGE(""https://docs.google.com/spreadsheets/d/1MeEWN-I1oV_STSDYn1IFDPWt_1FKiwhDph83XaGc0o0/edit?usp=sharing"",""งบพรบ!AJ56"")"),0)</f>
        <v>0</v>
      </c>
      <c r="M74" s="45">
        <f ca="1">IFERROR(__xludf.DUMMYFUNCTION("IMPORTRANGE(""https://docs.google.com/spreadsheets/d/1MeEWN-I1oV_STSDYn1IFDPWt_1FKiwhDph83XaGc0o0/edit?usp=sharing"",""งบพรบ!AM56"")"),0)</f>
        <v>0</v>
      </c>
      <c r="N74" s="45">
        <f ca="1">IFERROR(__xludf.DUMMYFUNCTION("IMPORTRANGE(""https://docs.google.com/spreadsheets/d/1MeEWN-I1oV_STSDYn1IFDPWt_1FKiwhDph83XaGc0o0/edit?usp=sharing"",""งบพรบ!AO56"")"),0)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38805</v>
      </c>
      <c r="N88" s="154">
        <f t="shared" ca="1" si="49"/>
        <v>38805</v>
      </c>
      <c r="O88" s="154">
        <f t="shared" ref="O88:O96" ca="1" si="50">IF(L88&gt;0,N88*100/L88,0)</f>
        <v>124.375</v>
      </c>
      <c r="P88" s="154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38805</v>
      </c>
      <c r="N90" s="45">
        <f t="shared" ca="1" si="52"/>
        <v>38805</v>
      </c>
      <c r="O90" s="45">
        <f t="shared" ca="1" si="50"/>
        <v>124.375</v>
      </c>
      <c r="P90" s="45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38805</v>
      </c>
      <c r="N91" s="38">
        <f t="shared" ca="1" si="53"/>
        <v>38805</v>
      </c>
      <c r="O91" s="38">
        <f t="shared" ca="1" si="50"/>
        <v>124.375</v>
      </c>
      <c r="P91" s="3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IFERROR(__xludf.DUMMYFUNCTION("IMPORTRANGE(""https://docs.google.com/spreadsheets/d/1MeEWN-I1oV_STSDYn1IFDPWt_1FKiwhDph83XaGc0o0/edit?usp=sharing"",""งบพรบ!AQ56"")"),31200)</f>
        <v>31200</v>
      </c>
      <c r="M93" s="45">
        <f ca="1">IFERROR(__xludf.DUMMYFUNCTION("IMPORTRANGE(""https://docs.google.com/spreadsheets/d/1MeEWN-I1oV_STSDYn1IFDPWt_1FKiwhDph83XaGc0o0/edit?usp=sharing"",""งบพรบ!AV56"")"),38805)</f>
        <v>38805</v>
      </c>
      <c r="N93" s="45">
        <f ca="1">IFERROR(__xludf.DUMMYFUNCTION("IMPORTRANGE(""https://docs.google.com/spreadsheets/d/1MeEWN-I1oV_STSDYn1IFDPWt_1FKiwhDph83XaGc0o0/edit?usp=sharing"",""งบพรบ!AX56"")"),38805)</f>
        <v>38805</v>
      </c>
      <c r="O93" s="45">
        <f t="shared" ca="1" si="50"/>
        <v>124.375</v>
      </c>
      <c r="P93" s="45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IFERROR(__xludf.DUMMYFUNCTION("IMPORTRANGE(""https://docs.google.com/spreadsheets/d/1MeEWN-I1oV_STSDYn1IFDPWt_1FKiwhDph83XaGc0o0/edit?usp=sharing"",""งบพรบ!AT56"")"),0)</f>
        <v>0</v>
      </c>
      <c r="M96" s="45">
        <f ca="1">IFERROR(__xludf.DUMMYFUNCTION("IMPORTRANGE(""https://docs.google.com/spreadsheets/d/1MeEWN-I1oV_STSDYn1IFDPWt_1FKiwhDph83XaGc0o0/edit?usp=sharing"",""งบพรบ!AW56"")"),0)</f>
        <v>0</v>
      </c>
      <c r="N96" s="45">
        <f ca="1">IFERROR(__xludf.DUMMYFUNCTION("IMPORTRANGE(""https://docs.google.com/spreadsheets/d/1MeEWN-I1oV_STSDYn1IFDPWt_1FKiwhDph83XaGc0o0/edit?usp=sharing"",""งบพรบ!AY56"")"),0)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IFERROR(__xludf.DUMMYFUNCTION("IMPORTRANGE(""https://docs.google.com/spreadsheets/d/1QqKyyYR6Q21VydFLVH3TRQUabQu_ym0Zz7PgGX0-kHA/edit?usp=sharing"",""แผน!K56"")"),0)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IFERROR(__xludf.DUMMYFUNCTION("IMPORTRANGE(""https://docs.google.com/spreadsheets/d/1QqKyyYR6Q21VydFLVH3TRQUabQu_ym0Zz7PgGX0-kHA/edit?usp=sharing"",""แผน!L56"")"),0)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IFERROR(__xludf.DUMMYFUNCTION("IMPORTRANGE(""https://docs.google.com/spreadsheets/d/1QqKyyYR6Q21VydFLVH3TRQUabQu_ym0Zz7PgGX0-kHA/edit?usp=sharing"",""แผน!M56"")"),1)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IFERROR(__xludf.DUMMYFUNCTION("IMPORTRANGE(""https://docs.google.com/spreadsheets/d/1QqKyyYR6Q21VydFLVH3TRQUabQu_ym0Zz7PgGX0-kHA/edit?usp=sharing"",""แผน!N56"")"),0)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IFERROR(__xludf.DUMMYFUNCTION("IMPORTRANGE(""https://docs.google.com/spreadsheets/d/1QqKyyYR6Q21VydFLVH3TRQUabQu_ym0Zz7PgGX0-kHA/edit?usp=sharing"",""แผน!O56"")"),0)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IFERROR(__xludf.DUMMYFUNCTION("IMPORTRANGE(""https://docs.google.com/spreadsheets/d/1QqKyyYR6Q21VydFLVH3TRQUabQu_ym0Zz7PgGX0-kHA/edit?usp=sharing"",""แผน!O56"")"),0)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IFERROR(__xludf.DUMMYFUNCTION("IMPORTRANGE(""https://docs.google.com/spreadsheets/d/1QqKyyYR6Q21VydFLVH3TRQUabQu_ym0Zz7PgGX0-kHA/edit?usp=sharing"",""แผน!P56"")"),0)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IFERROR(__xludf.DUMMYFUNCTION("IMPORTRANGE(""https://docs.google.com/spreadsheets/d/1QqKyyYR6Q21VydFLVH3TRQUabQu_ym0Zz7PgGX0-kHA/edit?usp=sharing"",""แผน!P56"")"),0)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IFERROR(__xludf.DUMMYFUNCTION("IMPORTRANGE(""https://docs.google.com/spreadsheets/d/1QqKyyYR6Q21VydFLVH3TRQUabQu_ym0Zz7PgGX0-kHA/edit?usp=sharing"",""แผน!Q56"")"),1)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IFERROR(__xludf.DUMMYFUNCTION("IMPORTRANGE(""https://docs.google.com/spreadsheets/d/1QqKyyYR6Q21VydFLVH3TRQUabQu_ym0Zz7PgGX0-kHA/edit?usp=sharing"",""แผน!Q56"")"),1)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IFERROR(__xludf.DUMMYFUNCTION("IMPORTRANGE(""https://docs.google.com/spreadsheets/d/1QqKyyYR6Q21VydFLVH3TRQUabQu_ym0Zz7PgGX0-kHA/edit?usp=sharing"",""แผน!R56"")"),0)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IFERROR(__xludf.DUMMYFUNCTION("IMPORTRANGE(""https://docs.google.com/spreadsheets/d/1QqKyyYR6Q21VydFLVH3TRQUabQu_ym0Zz7PgGX0-kHA/edit?usp=sharing"",""แผน!R56"")"),0)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IFERROR(__xludf.DUMMYFUNCTION("IMPORTRANGE(""https://docs.google.com/spreadsheets/d/1QqKyyYR6Q21VydFLVH3TRQUabQu_ym0Zz7PgGX0-kHA/edit?usp=sharing"",""แผน!R56"")"),0)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IFERROR(__xludf.DUMMYFUNCTION("IMPORTRANGE(""https://docs.google.com/spreadsheets/d/1QqKyyYR6Q21VydFLVH3TRQUabQu_ym0Zz7PgGX0-kHA/edit?usp=sharing"",""แผน!S56"")"),0)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IFERROR(__xludf.DUMMYFUNCTION("IMPORTRANGE(""https://docs.google.com/spreadsheets/d/1QqKyyYR6Q21VydFLVH3TRQUabQu_ym0Zz7PgGX0-kHA/edit?usp=sharing"",""แผน!T56"")"),1)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IFERROR(__xludf.DUMMYFUNCTION("IMPORTRANGE(""https://docs.google.com/spreadsheets/d/1MeEWN-I1oV_STSDYn1IFDPWt_1FKiwhDph83XaGc0o0/edit?usp=sharing"",""งบพรบ!BA56"")"),0)</f>
        <v>0</v>
      </c>
      <c r="M124" s="45">
        <f ca="1">IFERROR(__xludf.DUMMYFUNCTION("IMPORTRANGE(""https://docs.google.com/spreadsheets/d/1MeEWN-I1oV_STSDYn1IFDPWt_1FKiwhDph83XaGc0o0/edit?usp=sharing"",""งบพรบ!BF56"")"),0)</f>
        <v>0</v>
      </c>
      <c r="N124" s="45">
        <f ca="1">IFERROR(__xludf.DUMMYFUNCTION("IMPORTRANGE(""https://docs.google.com/spreadsheets/d/1MeEWN-I1oV_STSDYn1IFDPWt_1FKiwhDph83XaGc0o0/edit?usp=sharing"",""งบพรบ!BH56"")"),0)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IFERROR(__xludf.DUMMYFUNCTION("IMPORTRANGE(""https://docs.google.com/spreadsheets/d/1MeEWN-I1oV_STSDYn1IFDPWt_1FKiwhDph83XaGc0o0/edit?usp=sharing"",""งบพรบ!BD56"")"),0)</f>
        <v>0</v>
      </c>
      <c r="M127" s="45">
        <f ca="1">IFERROR(__xludf.DUMMYFUNCTION("IMPORTRANGE(""https://docs.google.com/spreadsheets/d/1MeEWN-I1oV_STSDYn1IFDPWt_1FKiwhDph83XaGc0o0/edit?usp=sharing"",""งบพรบ!BG56"")"),0)</f>
        <v>0</v>
      </c>
      <c r="N127" s="45">
        <f ca="1">IFERROR(__xludf.DUMMYFUNCTION("IMPORTRANGE(""https://docs.google.com/spreadsheets/d/1MeEWN-I1oV_STSDYn1IFDPWt_1FKiwhDph83XaGc0o0/edit?usp=sharing"",""งบพรบ!BI56"")"),0)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IFERROR(__xludf.DUMMYFUNCTION("IMPORTRANGE(""https://docs.google.com/spreadsheets/d/1MeEWN-I1oV_STSDYn1IFDPWt_1FKiwhDph83XaGc0o0/edit?usp=sharing"",""งบพรบ!BK56"")"),0)</f>
        <v>0</v>
      </c>
      <c r="M137" s="45">
        <f ca="1">IFERROR(__xludf.DUMMYFUNCTION("IMPORTRANGE(""https://docs.google.com/spreadsheets/d/1MeEWN-I1oV_STSDYn1IFDPWt_1FKiwhDph83XaGc0o0/edit?usp=sharing"",""งบพรบ!BP56"")"),0)</f>
        <v>0</v>
      </c>
      <c r="N137" s="45">
        <f ca="1">IFERROR(__xludf.DUMMYFUNCTION("IMPORTRANGE(""https://docs.google.com/spreadsheets/d/1MeEWN-I1oV_STSDYn1IFDPWt_1FKiwhDph83XaGc0o0/edit?usp=sharing"",""งบพรบ!BR56"")"),0)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IFERROR(__xludf.DUMMYFUNCTION("IMPORTRANGE(""https://docs.google.com/spreadsheets/d/1MeEWN-I1oV_STSDYn1IFDPWt_1FKiwhDph83XaGc0o0/edit?usp=sharing"",""งบพรบ!BN56"")"),0)</f>
        <v>0</v>
      </c>
      <c r="M140" s="45">
        <f ca="1">IFERROR(__xludf.DUMMYFUNCTION("IMPORTRANGE(""https://docs.google.com/spreadsheets/d/1MeEWN-I1oV_STSDYn1IFDPWt_1FKiwhDph83XaGc0o0/edit?usp=sharing"",""งบพรบ!BQ56"")"),0)</f>
        <v>0</v>
      </c>
      <c r="N140" s="45">
        <f ca="1">IFERROR(__xludf.DUMMYFUNCTION("IMPORTRANGE(""https://docs.google.com/spreadsheets/d/1MeEWN-I1oV_STSDYn1IFDPWt_1FKiwhDph83XaGc0o0/edit?usp=sharing"",""งบพรบ!BS56"")"),0)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IFERROR(__xludf.DUMMYFUNCTION("IMPORTRANGE(""https://docs.google.com/spreadsheets/d/1QqKyyYR6Q21VydFLVH3TRQUabQu_ym0Zz7PgGX0-kHA/edit?usp=sharing"",""แผน!U56"")"),0)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IFERROR(__xludf.DUMMYFUNCTION("IMPORTRANGE(""https://docs.google.com/spreadsheets/d/1QqKyyYR6Q21VydFLVH3TRQUabQu_ym0Zz7PgGX0-kHA/edit?usp=sharing"",""แผน!V56"")"),0)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IFERROR(__xludf.DUMMYFUNCTION("IMPORTRANGE(""https://docs.google.com/spreadsheets/d/1QqKyyYR6Q21VydFLVH3TRQUabQu_ym0Zz7PgGX0-kHA/edit?usp=sharing"",""แผน!W56"")"),0)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IFERROR(__xludf.DUMMYFUNCTION("IMPORTRANGE(""https://docs.google.com/spreadsheets/d/1MeEWN-I1oV_STSDYn1IFDPWt_1FKiwhDph83XaGc0o0/edit?usp=sharing"",""งบพรบ!BU56"")"),0)</f>
        <v>0</v>
      </c>
      <c r="M154" s="45">
        <f ca="1">IFERROR(__xludf.DUMMYFUNCTION("IMPORTRANGE(""https://docs.google.com/spreadsheets/d/1MeEWN-I1oV_STSDYn1IFDPWt_1FKiwhDph83XaGc0o0/edit?usp=sharing"",""งบพรบ!BZ56"")"),0)</f>
        <v>0</v>
      </c>
      <c r="N154" s="45">
        <f ca="1">IFERROR(__xludf.DUMMYFUNCTION("IMPORTRANGE(""https://docs.google.com/spreadsheets/d/1MeEWN-I1oV_STSDYn1IFDPWt_1FKiwhDph83XaGc0o0/edit?usp=sharing"",""งบพรบ!CB56"")"),0)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IFERROR(__xludf.DUMMYFUNCTION("IMPORTRANGE(""https://docs.google.com/spreadsheets/d/1MeEWN-I1oV_STSDYn1IFDPWt_1FKiwhDph83XaGc0o0/edit?usp=sharing"",""งบพรบ!BX56"")"),0)</f>
        <v>0</v>
      </c>
      <c r="M157" s="45">
        <f ca="1">IFERROR(__xludf.DUMMYFUNCTION("IMPORTRANGE(""https://docs.google.com/spreadsheets/d/1MeEWN-I1oV_STSDYn1IFDPWt_1FKiwhDph83XaGc0o0/edit?usp=sharing"",""งบพรบ!CA56"")"),0)</f>
        <v>0</v>
      </c>
      <c r="N157" s="45">
        <f ca="1">IFERROR(__xludf.DUMMYFUNCTION("IMPORTRANGE(""https://docs.google.com/spreadsheets/d/1MeEWN-I1oV_STSDYn1IFDPWt_1FKiwhDph83XaGc0o0/edit?usp=sharing"",""งบพรบ!CC56"")"),0)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831">
        <f t="shared" ref="I164:J164" ca="1" si="83">I174+I177</f>
        <v>0</v>
      </c>
      <c r="J164" s="831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IFERROR(__xludf.DUMMYFUNCTION("IMPORTRANGE(""https://docs.google.com/spreadsheets/d/1MeEWN-I1oV_STSDYn1IFDPWt_1FKiwhDph83XaGc0o0/edit?usp=sharing"",""งบพรบ!CE56"")"),0)</f>
        <v>0</v>
      </c>
      <c r="M170" s="45">
        <f ca="1">IFERROR(__xludf.DUMMYFUNCTION("IMPORTRANGE(""https://docs.google.com/spreadsheets/d/1MeEWN-I1oV_STSDYn1IFDPWt_1FKiwhDph83XaGc0o0/edit?usp=sharing"",""งบพรบ!CJ56"")"),0)</f>
        <v>0</v>
      </c>
      <c r="N170" s="45">
        <f ca="1">IFERROR(__xludf.DUMMYFUNCTION("IMPORTRANGE(""https://docs.google.com/spreadsheets/d/1MeEWN-I1oV_STSDYn1IFDPWt_1FKiwhDph83XaGc0o0/edit?usp=sharing"",""งบพรบ!CL56"")"),0)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IFERROR(__xludf.DUMMYFUNCTION("IMPORTRANGE(""https://docs.google.com/spreadsheets/d/1MeEWN-I1oV_STSDYn1IFDPWt_1FKiwhDph83XaGc0o0/edit?usp=sharing"",""งบพรบ!CH56"")"),0)</f>
        <v>0</v>
      </c>
      <c r="M173" s="45">
        <f ca="1">IFERROR(__xludf.DUMMYFUNCTION("IMPORTRANGE(""https://docs.google.com/spreadsheets/d/1MeEWN-I1oV_STSDYn1IFDPWt_1FKiwhDph83XaGc0o0/edit?usp=sharing"",""งบพรบ!CK56"")"),0)</f>
        <v>0</v>
      </c>
      <c r="N173" s="45">
        <f ca="1">IFERROR(__xludf.DUMMYFUNCTION("IMPORTRANGE(""https://docs.google.com/spreadsheets/d/1MeEWN-I1oV_STSDYn1IFDPWt_1FKiwhDph83XaGc0o0/edit?usp=sharing"",""งบพรบ!CM56"")"),0)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IFERROR(__xludf.DUMMYFUNCTION("IMPORTRANGE(""https://docs.google.com/spreadsheets/d/1QqKyyYR6Q21VydFLVH3TRQUabQu_ym0Zz7PgGX0-kHA/edit?usp=sharing"",""แผน!Y56"")"),0)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40</v>
      </c>
      <c r="J180" s="242">
        <f t="shared" si="91"/>
        <v>40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153900</v>
      </c>
      <c r="M181" s="154">
        <f t="shared" ca="1" si="92"/>
        <v>168990</v>
      </c>
      <c r="N181" s="154">
        <f t="shared" ca="1" si="92"/>
        <v>163800</v>
      </c>
      <c r="O181" s="154">
        <f t="shared" ref="O181:O189" ca="1" si="93">IF(L181&gt;0,N181*100/L181,0)</f>
        <v>106.43274853801169</v>
      </c>
      <c r="P181" s="154">
        <f t="shared" ref="P181:P189" ca="1" si="94">IF(M181&gt;0,N181*100/M181,0)</f>
        <v>96.928812355760698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153900</v>
      </c>
      <c r="M183" s="45">
        <f t="shared" ca="1" si="95"/>
        <v>168990</v>
      </c>
      <c r="N183" s="45">
        <f t="shared" ca="1" si="95"/>
        <v>163800</v>
      </c>
      <c r="O183" s="45">
        <f t="shared" ca="1" si="93"/>
        <v>106.43274853801169</v>
      </c>
      <c r="P183" s="45">
        <f t="shared" ca="1" si="94"/>
        <v>96.928812355760698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153900</v>
      </c>
      <c r="M184" s="38">
        <f t="shared" ca="1" si="96"/>
        <v>168990</v>
      </c>
      <c r="N184" s="38">
        <f t="shared" ca="1" si="96"/>
        <v>163800</v>
      </c>
      <c r="O184" s="38">
        <f t="shared" ca="1" si="93"/>
        <v>106.43274853801169</v>
      </c>
      <c r="P184" s="38">
        <f t="shared" ca="1" si="94"/>
        <v>96.928812355760698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IFERROR(__xludf.DUMMYFUNCTION("IMPORTRANGE(""https://docs.google.com/spreadsheets/d/1MeEWN-I1oV_STSDYn1IFDPWt_1FKiwhDph83XaGc0o0/edit?usp=sharing"",""งบพรบ!CO56"")"),153900)</f>
        <v>153900</v>
      </c>
      <c r="M186" s="45">
        <f ca="1">IFERROR(__xludf.DUMMYFUNCTION("IMPORTRANGE(""https://docs.google.com/spreadsheets/d/1MeEWN-I1oV_STSDYn1IFDPWt_1FKiwhDph83XaGc0o0/edit?usp=sharing"",""งบพรบ!CT56"")"),168990)</f>
        <v>168990</v>
      </c>
      <c r="N186" s="45">
        <f ca="1">IFERROR(__xludf.DUMMYFUNCTION("IMPORTRANGE(""https://docs.google.com/spreadsheets/d/1MeEWN-I1oV_STSDYn1IFDPWt_1FKiwhDph83XaGc0o0/edit?usp=sharing"",""งบพรบ!CV56"")"),163800)</f>
        <v>163800</v>
      </c>
      <c r="O186" s="45">
        <f t="shared" ca="1" si="93"/>
        <v>106.43274853801169</v>
      </c>
      <c r="P186" s="45">
        <f t="shared" ca="1" si="94"/>
        <v>96.928812355760698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IFERROR(__xludf.DUMMYFUNCTION("IMPORTRANGE(""https://docs.google.com/spreadsheets/d/1MeEWN-I1oV_STSDYn1IFDPWt_1FKiwhDph83XaGc0o0/edit?usp=sharing"",""งบพรบ!CR56"")"),0)</f>
        <v>0</v>
      </c>
      <c r="M189" s="45">
        <f ca="1">IFERROR(__xludf.DUMMYFUNCTION("IMPORTRANGE(""https://docs.google.com/spreadsheets/d/1MeEWN-I1oV_STSDYn1IFDPWt_1FKiwhDph83XaGc0o0/edit?usp=sharing"",""งบพรบ!CU56"")"),0)</f>
        <v>0</v>
      </c>
      <c r="N189" s="45">
        <f ca="1">IFERROR(__xludf.DUMMYFUNCTION("IMPORTRANGE(""https://docs.google.com/spreadsheets/d/1MeEWN-I1oV_STSDYn1IFDPWt_1FKiwhDph83XaGc0o0/edit?usp=sharing"",""งบพรบ!CW56"")"),0)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IFERROR(__xludf.DUMMYFUNCTION("IMPORTRANGE(""https://docs.google.com/spreadsheets/d/1QqKyyYR6Q21VydFLVH3TRQUabQu_ym0Zz7PgGX0-kHA/edit?usp=sharing"",""แผน!Z56"")"),6000)</f>
        <v>6000</v>
      </c>
      <c r="M191" s="154"/>
      <c r="N191" s="264">
        <f>860</f>
        <v>860</v>
      </c>
      <c r="O191" s="154">
        <f ca="1">IF(L191&gt;0,N191*100/L191,0)</f>
        <v>14.333333333333334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IFERROR(__xludf.DUMMYFUNCTION("IMPORTRANGE(""https://docs.google.com/spreadsheets/d/1QqKyyYR6Q21VydFLVH3TRQUabQu_ym0Zz7PgGX0-kHA/edit?usp=sharing"",""แผน!AC56"")"),4)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IFERROR(__xludf.DUMMYFUNCTION("IMPORTRANGE(""https://docs.google.com/spreadsheets/d/1QqKyyYR6Q21VydFLVH3TRQUabQu_ym0Zz7PgGX0-kHA/edit?usp=sharing"",""แผน!AE56"")"),4000)</f>
        <v>4000</v>
      </c>
      <c r="M199" s="38"/>
      <c r="N199" s="271">
        <v>4000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IFERROR(__xludf.DUMMYFUNCTION("IMPORTRANGE(""https://docs.google.com/spreadsheets/d/1QqKyyYR6Q21VydFLVH3TRQUabQu_ym0Zz7PgGX0-kHA/edit?usp=sharing"",""แผน!AF56"")"),32000)</f>
        <v>32000</v>
      </c>
      <c r="M200" s="38"/>
      <c r="N200" s="271">
        <v>32000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IFERROR(__xludf.DUMMYFUNCTION("IMPORTRANGE(""https://docs.google.com/spreadsheets/d/1QqKyyYR6Q21VydFLVH3TRQUabQu_ym0Zz7PgGX0-kHA/edit?usp=sharing"",""แผน!AG56"")"),16000)</f>
        <v>16000</v>
      </c>
      <c r="M201" s="38"/>
      <c r="N201" s="271">
        <v>16000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IFERROR(__xludf.DUMMYFUNCTION("IMPORTRANGE(""https://docs.google.com/spreadsheets/d/1QqKyyYR6Q21VydFLVH3TRQUabQu_ym0Zz7PgGX0-kHA/edit?usp=sharing"",""แผน!AH56"")"),5000)</f>
        <v>5000</v>
      </c>
      <c r="M202" s="38"/>
      <c r="N202" s="271">
        <v>5000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IFERROR(__xludf.DUMMYFUNCTION("IMPORTRANGE(""https://docs.google.com/spreadsheets/d/1QqKyyYR6Q21VydFLVH3TRQUabQu_ym0Zz7PgGX0-kHA/edit?usp=sharing"",""แผน!AI56"")"),4)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IFERROR(__xludf.DUMMYFUNCTION("IMPORTRANGE(""https://docs.google.com/spreadsheets/d/1QqKyyYR6Q21VydFLVH3TRQUabQu_ym0Zz7PgGX0-kHA/edit?usp=sharing"",""แผน!AK56"")"),0)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IFERROR(__xludf.DUMMYFUNCTION("IMPORTRANGE(""https://docs.google.com/spreadsheets/d/1QqKyyYR6Q21VydFLVH3TRQUabQu_ym0Zz7PgGX0-kHA/edit?usp=sharing"",""แผน!AL56"")"),0)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IFERROR(__xludf.DUMMYFUNCTION("IMPORTRANGE(""https://docs.google.com/spreadsheets/d/1QqKyyYR6Q21VydFLVH3TRQUabQu_ym0Zz7PgGX0-kHA/edit?usp=sharing"",""แผน!AM56"")"),0)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IFERROR(__xludf.DUMMYFUNCTION("IMPORTRANGE(""https://docs.google.com/spreadsheets/d/1QqKyyYR6Q21VydFLVH3TRQUabQu_ym0Zz7PgGX0-kHA/edit?usp=sharing"",""แผน!AN56"")"),0)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IFERROR(__xludf.DUMMYFUNCTION("IMPORTRANGE(""https://docs.google.com/spreadsheets/d/1QqKyyYR6Q21VydFLVH3TRQUabQu_ym0Zz7PgGX0-kHA/edit?usp=sharing"",""แผน!AN56"")"),0)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5000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15900</v>
      </c>
      <c r="M217" s="154"/>
      <c r="N217" s="154">
        <f>N218+N219+N220</f>
        <v>15900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IFERROR(__xludf.DUMMYFUNCTION("IMPORTRANGE(""https://docs.google.com/spreadsheets/d/1QqKyyYR6Q21VydFLVH3TRQUabQu_ym0Zz7PgGX0-kHA/edit?usp=sharing"",""แผน!AP56"")"),3000)</f>
        <v>3000</v>
      </c>
      <c r="M218" s="38"/>
      <c r="N218" s="271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IFERROR(__xludf.DUMMYFUNCTION("IMPORTRANGE(""https://docs.google.com/spreadsheets/d/1QqKyyYR6Q21VydFLVH3TRQUabQu_ym0Zz7PgGX0-kHA/edit?usp=sharing"",""แผน!AQ56"")"),2900)</f>
        <v>2900</v>
      </c>
      <c r="M219" s="38"/>
      <c r="N219" s="271">
        <v>2900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IFERROR(__xludf.DUMMYFUNCTION("IMPORTRANGE(""https://docs.google.com/spreadsheets/d/1QqKyyYR6Q21VydFLVH3TRQUabQu_ym0Zz7PgGX0-kHA/edit?usp=sharing"",""แผน!AR56"")"),10000)</f>
        <v>10000</v>
      </c>
      <c r="M220" s="38"/>
      <c r="N220" s="271">
        <v>10000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IFERROR(__xludf.DUMMYFUNCTION("IMPORTRANGE(""https://docs.google.com/spreadsheets/d/1QqKyyYR6Q21VydFLVH3TRQUabQu_ym0Zz7PgGX0-kHA/edit?usp=sharing"",""แผน!AT56"")"),5000)</f>
        <v>5000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IFERROR(__xludf.DUMMYFUNCTION("IMPORTRANGE(""https://docs.google.com/spreadsheets/d/1QqKyyYR6Q21VydFLVH3TRQUabQu_ym0Zz7PgGX0-kHA/edit?usp=sharing"",""แผน!AT56"")"),5000)</f>
        <v>5000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IFERROR(__xludf.DUMMYFUNCTION("IMPORTRANGE(""https://docs.google.com/spreadsheets/d/1QqKyyYR6Q21VydFLVH3TRQUabQu_ym0Zz7PgGX0-kHA/edit?usp=sharing"",""แผน!AS56"")"),10)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30</v>
      </c>
      <c r="J226" s="330">
        <f t="shared" si="105"/>
        <v>30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75000</v>
      </c>
      <c r="M227" s="341"/>
      <c r="N227" s="341">
        <f t="shared" ref="N227:N231" si="107">N238+N249</f>
        <v>75000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20000</v>
      </c>
      <c r="M228" s="45"/>
      <c r="N228" s="45">
        <f t="shared" si="107"/>
        <v>20000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15000</v>
      </c>
      <c r="M229" s="45"/>
      <c r="N229" s="45">
        <f t="shared" si="107"/>
        <v>15000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30000</v>
      </c>
      <c r="M230" s="45"/>
      <c r="N230" s="45">
        <f t="shared" si="107"/>
        <v>30000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30</v>
      </c>
      <c r="J233" s="44">
        <f t="shared" si="108"/>
        <v>30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30</v>
      </c>
      <c r="J235" s="44">
        <f t="shared" si="109"/>
        <v>30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30</v>
      </c>
      <c r="J237" s="260">
        <f t="shared" si="111"/>
        <v>30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75000</v>
      </c>
      <c r="M238" s="154"/>
      <c r="N238" s="154">
        <f>N239+N240+N241+N242</f>
        <v>75000</v>
      </c>
      <c r="O238" s="154">
        <f ca="1">IF(L238&gt;0,N238*100/L238,0)</f>
        <v>100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IFERROR(__xludf.DUMMYFUNCTION("IMPORTRANGE(""https://docs.google.com/spreadsheets/d/1QqKyyYR6Q21VydFLVH3TRQUabQu_ym0Zz7PgGX0-kHA/edit?usp=sharing"",""แผน!AV56"")"),20000)</f>
        <v>20000</v>
      </c>
      <c r="M239" s="270"/>
      <c r="N239" s="808">
        <v>20000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IFERROR(__xludf.DUMMYFUNCTION("IMPORTRANGE(""https://docs.google.com/spreadsheets/d/1QqKyyYR6Q21VydFLVH3TRQUabQu_ym0Zz7PgGX0-kHA/edit?usp=sharing"",""แผน!AW56"")"),15000)</f>
        <v>15000</v>
      </c>
      <c r="M240" s="270"/>
      <c r="N240" s="808">
        <v>15000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IFERROR(__xludf.DUMMYFUNCTION("IMPORTRANGE(""https://docs.google.com/spreadsheets/d/1QqKyyYR6Q21VydFLVH3TRQUabQu_ym0Zz7PgGX0-kHA/edit?usp=sharing"",""แผน!AX56"")"),30000)</f>
        <v>30000</v>
      </c>
      <c r="M241" s="270"/>
      <c r="N241" s="808">
        <v>30000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IFERROR(__xludf.DUMMYFUNCTION("IMPORTRANGE(""https://docs.google.com/spreadsheets/d/1QqKyyYR6Q21VydFLVH3TRQUabQu_ym0Zz7PgGX0-kHA/edit?usp=sharing"",""แผน!AY56"")"),10000)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IFERROR(__xludf.DUMMYFUNCTION("IMPORTRANGE(""https://docs.google.com/spreadsheets/d/1QqKyyYR6Q21VydFLVH3TRQUabQu_ym0Zz7PgGX0-kHA/edit?usp=sharing"",""แผน!BE56"")"),30)</f>
        <v>30</v>
      </c>
      <c r="J244" s="181">
        <v>30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30</v>
      </c>
      <c r="J246" s="181">
        <v>30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IFERROR(__xludf.DUMMYFUNCTION("IMPORTRANGE(""https://docs.google.com/spreadsheets/d/1QqKyyYR6Q21VydFLVH3TRQUabQu_ym0Zz7PgGX0-kHA/edit?usp=sharing"",""แผน!AZ56"")"),0)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IFERROR(__xludf.DUMMYFUNCTION("IMPORTRANGE(""https://docs.google.com/spreadsheets/d/1QqKyyYR6Q21VydFLVH3TRQUabQu_ym0Zz7PgGX0-kHA/edit?usp=sharing"",""แผน!BA56"")"),0)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IFERROR(__xludf.DUMMYFUNCTION("IMPORTRANGE(""https://docs.google.com/spreadsheets/d/1QqKyyYR6Q21VydFLVH3TRQUabQu_ym0Zz7PgGX0-kHA/edit?usp=sharing"",""แผน!BB56"")"),0)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IFERROR(__xludf.DUMMYFUNCTION("IMPORTRANGE(""https://docs.google.com/spreadsheets/d/1QqKyyYR6Q21VydFLVH3TRQUabQu_ym0Zz7PgGX0-kHA/edit?usp=sharing"",""แผน!BC56"")"),0)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25000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25000</v>
      </c>
      <c r="O263" s="45">
        <f t="shared" ca="1" si="117"/>
        <v>100</v>
      </c>
      <c r="P263" s="45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25000</v>
      </c>
      <c r="O264" s="38">
        <f t="shared" ca="1" si="117"/>
        <v>100</v>
      </c>
      <c r="P264" s="3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IFERROR(__xludf.DUMMYFUNCTION("IMPORTRANGE(""https://docs.google.com/spreadsheets/d/1MeEWN-I1oV_STSDYn1IFDPWt_1FKiwhDph83XaGc0o0/edit?usp=sharing"",""งบพรบ!CY56"")"),25000)</f>
        <v>25000</v>
      </c>
      <c r="M266" s="45">
        <f ca="1">IFERROR(__xludf.DUMMYFUNCTION("IMPORTRANGE(""https://docs.google.com/spreadsheets/d/1MeEWN-I1oV_STSDYn1IFDPWt_1FKiwhDph83XaGc0o0/edit?usp=sharing"",""งบพรบ!DD56"")"),25000)</f>
        <v>25000</v>
      </c>
      <c r="N266" s="45">
        <f ca="1">IFERROR(__xludf.DUMMYFUNCTION("IMPORTRANGE(""https://docs.google.com/spreadsheets/d/1MeEWN-I1oV_STSDYn1IFDPWt_1FKiwhDph83XaGc0o0/edit?usp=sharing"",""งบพรบ!DF56"")"),25000)</f>
        <v>25000</v>
      </c>
      <c r="O266" s="45">
        <f t="shared" ca="1" si="117"/>
        <v>100</v>
      </c>
      <c r="P266" s="45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IFERROR(__xludf.DUMMYFUNCTION("IMPORTRANGE(""https://docs.google.com/spreadsheets/d/1MeEWN-I1oV_STSDYn1IFDPWt_1FKiwhDph83XaGc0o0/edit?usp=sharing"",""งบพรบ!DB56"")"),0)</f>
        <v>0</v>
      </c>
      <c r="M269" s="45">
        <f ca="1">IFERROR(__xludf.DUMMYFUNCTION("IMPORTRANGE(""https://docs.google.com/spreadsheets/d/1MeEWN-I1oV_STSDYn1IFDPWt_1FKiwhDph83XaGc0o0/edit?usp=sharing"",""งบพรบ!DE56"")"),0)</f>
        <v>0</v>
      </c>
      <c r="N269" s="45">
        <f ca="1">IFERROR(__xludf.DUMMYFUNCTION("IMPORTRANGE(""https://docs.google.com/spreadsheets/d/1MeEWN-I1oV_STSDYn1IFDPWt_1FKiwhDph83XaGc0o0/edit?usp=sharing"",""งบพรบ!DG56"")"),0)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IFERROR(__xludf.DUMMYFUNCTION("IMPORTRANGE(""https://docs.google.com/spreadsheets/d/1QqKyyYR6Q21VydFLVH3TRQUabQu_ym0Zz7PgGX0-kHA/edit?usp=sharing"",""แผน!EA56"")"),20)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50</v>
      </c>
      <c r="J276" s="810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163030</v>
      </c>
      <c r="M277" s="154">
        <f t="shared" ca="1" si="125"/>
        <v>163030</v>
      </c>
      <c r="N277" s="154">
        <f t="shared" ca="1" si="125"/>
        <v>149123</v>
      </c>
      <c r="O277" s="154">
        <f t="shared" ref="O277:O285" ca="1" si="126">IF(L277&gt;0,N277*100/L277,0)</f>
        <v>91.469668159234502</v>
      </c>
      <c r="P277" s="154">
        <f t="shared" ref="P277:P285" ca="1" si="127">IF(M277&gt;0,N277*100/M277,0)</f>
        <v>91.469668159234502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163030</v>
      </c>
      <c r="M279" s="45">
        <f t="shared" ca="1" si="128"/>
        <v>163030</v>
      </c>
      <c r="N279" s="45">
        <f t="shared" ca="1" si="128"/>
        <v>149123</v>
      </c>
      <c r="O279" s="45">
        <f t="shared" ca="1" si="126"/>
        <v>91.469668159234502</v>
      </c>
      <c r="P279" s="45">
        <f t="shared" ca="1" si="127"/>
        <v>91.469668159234502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163030</v>
      </c>
      <c r="M280" s="38">
        <f t="shared" ca="1" si="129"/>
        <v>163030</v>
      </c>
      <c r="N280" s="38">
        <f t="shared" ca="1" si="129"/>
        <v>149123</v>
      </c>
      <c r="O280" s="38">
        <f t="shared" ca="1" si="126"/>
        <v>91.469668159234502</v>
      </c>
      <c r="P280" s="38">
        <f t="shared" ca="1" si="127"/>
        <v>91.469668159234502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IFERROR(__xludf.DUMMYFUNCTION("IMPORTRANGE(""https://docs.google.com/spreadsheets/d/1MeEWN-I1oV_STSDYn1IFDPWt_1FKiwhDph83XaGc0o0/edit?usp=sharing"",""งบพรบ!DI56"")"),163030)</f>
        <v>163030</v>
      </c>
      <c r="M282" s="45">
        <f ca="1">IFERROR(__xludf.DUMMYFUNCTION("IMPORTRANGE(""https://docs.google.com/spreadsheets/d/1MeEWN-I1oV_STSDYn1IFDPWt_1FKiwhDph83XaGc0o0/edit?usp=sharing"",""งบพรบ!DN56"")"),163030)</f>
        <v>163030</v>
      </c>
      <c r="N282" s="45">
        <f ca="1">IFERROR(__xludf.DUMMYFUNCTION("IMPORTRANGE(""https://docs.google.com/spreadsheets/d/1MeEWN-I1oV_STSDYn1IFDPWt_1FKiwhDph83XaGc0o0/edit?usp=sharing"",""งบพรบ!DP56"")"),149123)</f>
        <v>149123</v>
      </c>
      <c r="O282" s="45">
        <f t="shared" ca="1" si="126"/>
        <v>91.469668159234502</v>
      </c>
      <c r="P282" s="45">
        <f t="shared" ca="1" si="127"/>
        <v>91.469668159234502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IFERROR(__xludf.DUMMYFUNCTION("IMPORTRANGE(""https://docs.google.com/spreadsheets/d/1MeEWN-I1oV_STSDYn1IFDPWt_1FKiwhDph83XaGc0o0/edit?usp=sharing"",""งบพรบ!DL56"")"),0)</f>
        <v>0</v>
      </c>
      <c r="M285" s="45">
        <f ca="1">IFERROR(__xludf.DUMMYFUNCTION("IMPORTRANGE(""https://docs.google.com/spreadsheets/d/1MeEWN-I1oV_STSDYn1IFDPWt_1FKiwhDph83XaGc0o0/edit?usp=sharing"",""งบพรบ!DO56"")"),0)</f>
        <v>0</v>
      </c>
      <c r="N285" s="45">
        <f ca="1">IFERROR(__xludf.DUMMYFUNCTION("IMPORTRANGE(""https://docs.google.com/spreadsheets/d/1MeEWN-I1oV_STSDYn1IFDPWt_1FKiwhDph83XaGc0o0/edit?usp=sharing"",""งบพรบ!DQ56"")"),0)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IFERROR(__xludf.DUMMYFUNCTION("IMPORTRANGE(""https://docs.google.com/spreadsheets/d/1QqKyyYR6Q21VydFLVH3TRQUabQu_ym0Zz7PgGX0-kHA/edit?usp=sharing"",""แผน!EC56"")"),50)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IFERROR(__xludf.DUMMYFUNCTION("IMPORTRANGE(""https://docs.google.com/spreadsheets/d/1QqKyyYR6Q21VydFLVH3TRQUabQu_ym0Zz7PgGX0-kHA/edit?usp=sharing"",""แผน!EB56"")"),5)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IFERROR(__xludf.DUMMYFUNCTION("IMPORTRANGE(""https://docs.google.com/spreadsheets/d/1QqKyyYR6Q21VydFLVH3TRQUabQu_ym0Zz7PgGX0-kHA/edit?usp=sharing"",""แผน!EB56"")"),5)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IFERROR(__xludf.DUMMYFUNCTION("IMPORTRANGE(""https://docs.google.com/spreadsheets/d/1QqKyyYR6Q21VydFLVH3TRQUabQu_ym0Zz7PgGX0-kHA/edit?usp=sharing"",""แผน!EB56"")"),5)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IFERROR(__xludf.DUMMYFUNCTION("IMPORTRANGE(""https://docs.google.com/spreadsheets/d/1QqKyyYR6Q21VydFLVH3TRQUabQu_ym0Zz7PgGX0-kHA/edit?usp=sharing"",""แผน!EB56"")"),5)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IFERROR(__xludf.DUMMYFUNCTION("IMPORTRANGE(""https://docs.google.com/spreadsheets/d/1QqKyyYR6Q21VydFLVH3TRQUabQu_ym0Zz7PgGX0-kHA/edit?usp=sharing"",""แผน!EB56"")"),5)</f>
        <v>5</v>
      </c>
      <c r="J294" s="401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15</v>
      </c>
      <c r="J297" s="421">
        <f t="shared" si="134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206800</v>
      </c>
      <c r="M298" s="154">
        <f t="shared" ca="1" si="135"/>
        <v>219300</v>
      </c>
      <c r="N298" s="154">
        <f t="shared" ca="1" si="135"/>
        <v>183293.3</v>
      </c>
      <c r="O298" s="154">
        <f t="shared" ref="O298:O306" ca="1" si="136">IF(L298&gt;0,N298*100/L298,0)</f>
        <v>88.63312379110252</v>
      </c>
      <c r="P298" s="154">
        <f t="shared" ref="P298:P306" ca="1" si="137">IF(M298&gt;0,N298*100/M298,0)</f>
        <v>83.581076151390789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206800</v>
      </c>
      <c r="M300" s="45">
        <f t="shared" ca="1" si="138"/>
        <v>219300</v>
      </c>
      <c r="N300" s="45">
        <f t="shared" ca="1" si="138"/>
        <v>183293.3</v>
      </c>
      <c r="O300" s="45">
        <f t="shared" ca="1" si="136"/>
        <v>88.63312379110252</v>
      </c>
      <c r="P300" s="45">
        <f t="shared" ca="1" si="137"/>
        <v>83.581076151390789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206800</v>
      </c>
      <c r="M301" s="38">
        <f t="shared" ca="1" si="139"/>
        <v>219300</v>
      </c>
      <c r="N301" s="38">
        <f t="shared" ca="1" si="139"/>
        <v>183293.3</v>
      </c>
      <c r="O301" s="38">
        <f t="shared" ca="1" si="136"/>
        <v>88.63312379110252</v>
      </c>
      <c r="P301" s="38">
        <f t="shared" ca="1" si="137"/>
        <v>83.581076151390789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IFERROR(__xludf.DUMMYFUNCTION("IMPORTRANGE(""https://docs.google.com/spreadsheets/d/1MeEWN-I1oV_STSDYn1IFDPWt_1FKiwhDph83XaGc0o0/edit?usp=sharing"",""งบพรบ!DS56"")"),206800)</f>
        <v>206800</v>
      </c>
      <c r="M303" s="45">
        <f ca="1">IFERROR(__xludf.DUMMYFUNCTION("IMPORTRANGE(""https://docs.google.com/spreadsheets/d/1MeEWN-I1oV_STSDYn1IFDPWt_1FKiwhDph83XaGc0o0/edit?usp=sharing"",""งบพรบ!DX56"")"),219300)</f>
        <v>219300</v>
      </c>
      <c r="N303" s="45">
        <f ca="1">IFERROR(__xludf.DUMMYFUNCTION("IMPORTRANGE(""https://docs.google.com/spreadsheets/d/1MeEWN-I1oV_STSDYn1IFDPWt_1FKiwhDph83XaGc0o0/edit?usp=sharing"",""งบพรบ!DZ56"")"),183293.3)</f>
        <v>183293.3</v>
      </c>
      <c r="O303" s="45">
        <f t="shared" ca="1" si="136"/>
        <v>88.63312379110252</v>
      </c>
      <c r="P303" s="45">
        <f t="shared" ca="1" si="137"/>
        <v>83.581076151390789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IFERROR(__xludf.DUMMYFUNCTION("IMPORTRANGE(""https://docs.google.com/spreadsheets/d/1MeEWN-I1oV_STSDYn1IFDPWt_1FKiwhDph83XaGc0o0/edit?usp=sharing"",""งบพรบ!DV56"")"),0)</f>
        <v>0</v>
      </c>
      <c r="M306" s="45">
        <f ca="1">IFERROR(__xludf.DUMMYFUNCTION("IMPORTRANGE(""https://docs.google.com/spreadsheets/d/1MeEWN-I1oV_STSDYn1IFDPWt_1FKiwhDph83XaGc0o0/edit?usp=sharing"",""งบพรบ!DY56"")"),0)</f>
        <v>0</v>
      </c>
      <c r="N306" s="45">
        <f ca="1">IFERROR(__xludf.DUMMYFUNCTION("IMPORTRANGE(""https://docs.google.com/spreadsheets/d/1MeEWN-I1oV_STSDYn1IFDPWt_1FKiwhDph83XaGc0o0/edit?usp=sharing"",""งบพรบ!EA56"")"),0)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IFERROR(__xludf.DUMMYFUNCTION("IMPORTRANGE(""https://docs.google.com/spreadsheets/d/1QqKyyYR6Q21VydFLVH3TRQUabQu_ym0Zz7PgGX0-kHA/edit?usp=sharing"",""แผน!ED56"")"),15)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IFERROR(__xludf.DUMMYFUNCTION("IMPORTRANGE(""https://docs.google.com/spreadsheets/d/1QqKyyYR6Q21VydFLVH3TRQUabQu_ym0Zz7PgGX0-kHA/edit?usp=sharing"",""แผน!ED56"")"),15)</f>
        <v>15</v>
      </c>
      <c r="J310" s="181">
        <v>15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IFERROR(__xludf.DUMMYFUNCTION("IMPORTRANGE(""https://docs.google.com/spreadsheets/d/1QqKyyYR6Q21VydFLVH3TRQUabQu_ym0Zz7PgGX0-kHA/edit?usp=sharing"",""แผน!ED56"")"),15)</f>
        <v>15</v>
      </c>
      <c r="J311" s="181">
        <v>15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IFERROR(__xludf.DUMMYFUNCTION("IMPORTRANGE(""https://docs.google.com/spreadsheets/d/1QqKyyYR6Q21VydFLVH3TRQUabQu_ym0Zz7PgGX0-kHA/edit?usp=sharing"",""แผน!EE56"")"),3)</f>
        <v>3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2</v>
      </c>
      <c r="J314" s="421">
        <f t="shared" si="142"/>
        <v>2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153000</v>
      </c>
      <c r="M315" s="154">
        <f t="shared" ca="1" si="143"/>
        <v>153000</v>
      </c>
      <c r="N315" s="154">
        <f t="shared" ca="1" si="143"/>
        <v>129849</v>
      </c>
      <c r="O315" s="154">
        <f t="shared" ref="O315:O323" ca="1" si="144">IF(L315&gt;0,N315*100/L315,0)</f>
        <v>84.868627450980398</v>
      </c>
      <c r="P315" s="154">
        <f t="shared" ref="P315:P323" ca="1" si="145">IF(M315&gt;0,N315*100/M315,0)</f>
        <v>84.868627450980398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153000</v>
      </c>
      <c r="M317" s="45">
        <f t="shared" ca="1" si="146"/>
        <v>153000</v>
      </c>
      <c r="N317" s="45">
        <f t="shared" ca="1" si="146"/>
        <v>129849</v>
      </c>
      <c r="O317" s="45">
        <f t="shared" ca="1" si="144"/>
        <v>84.868627450980398</v>
      </c>
      <c r="P317" s="45">
        <f t="shared" ca="1" si="145"/>
        <v>84.868627450980398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153000</v>
      </c>
      <c r="N318" s="38">
        <f t="shared" ca="1" si="147"/>
        <v>129849</v>
      </c>
      <c r="O318" s="38">
        <f t="shared" ca="1" si="144"/>
        <v>84.868627450980398</v>
      </c>
      <c r="P318" s="38">
        <f t="shared" ca="1" si="145"/>
        <v>84.868627450980398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IFERROR(__xludf.DUMMYFUNCTION("IMPORTRANGE(""https://docs.google.com/spreadsheets/d/1MeEWN-I1oV_STSDYn1IFDPWt_1FKiwhDph83XaGc0o0/edit?usp=sharing"",""งบพรบ!EC56"")"),153000)</f>
        <v>153000</v>
      </c>
      <c r="M320" s="45">
        <f ca="1">IFERROR(__xludf.DUMMYFUNCTION("IMPORTRANGE(""https://docs.google.com/spreadsheets/d/1MeEWN-I1oV_STSDYn1IFDPWt_1FKiwhDph83XaGc0o0/edit?usp=sharing"",""งบพรบ!EH56"")"),153000)</f>
        <v>153000</v>
      </c>
      <c r="N320" s="45">
        <f ca="1">IFERROR(__xludf.DUMMYFUNCTION("IMPORTRANGE(""https://docs.google.com/spreadsheets/d/1MeEWN-I1oV_STSDYn1IFDPWt_1FKiwhDph83XaGc0o0/edit?usp=sharing"",""งบพรบ!EJ56"")"),129849)</f>
        <v>129849</v>
      </c>
      <c r="O320" s="45">
        <f t="shared" ca="1" si="144"/>
        <v>84.868627450980398</v>
      </c>
      <c r="P320" s="45">
        <f t="shared" ca="1" si="145"/>
        <v>84.868627450980398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IFERROR(__xludf.DUMMYFUNCTION("IMPORTRANGE(""https://docs.google.com/spreadsheets/d/1MeEWN-I1oV_STSDYn1IFDPWt_1FKiwhDph83XaGc0o0/edit?usp=sharing"",""งบพรบ!EF56"")"),0)</f>
        <v>0</v>
      </c>
      <c r="M323" s="45">
        <f ca="1">IFERROR(__xludf.DUMMYFUNCTION("IMPORTRANGE(""https://docs.google.com/spreadsheets/d/1MeEWN-I1oV_STSDYn1IFDPWt_1FKiwhDph83XaGc0o0/edit?usp=sharing"",""งบพรบ!EI56"")"),0)</f>
        <v>0</v>
      </c>
      <c r="N323" s="45">
        <f ca="1">IFERROR(__xludf.DUMMYFUNCTION("IMPORTRANGE(""https://docs.google.com/spreadsheets/d/1MeEWN-I1oV_STSDYn1IFDPWt_1FKiwhDph83XaGc0o0/edit?usp=sharing"",""งบพรบ!EK56"")"),0)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IFERROR(__xludf.DUMMYFUNCTION("IMPORTRANGE(""https://docs.google.com/spreadsheets/d/1QqKyyYR6Q21VydFLVH3TRQUabQu_ym0Zz7PgGX0-kHA/edit?usp=sharing"",""แผน!EF56"")"),2)</f>
        <v>2</v>
      </c>
      <c r="J325" s="181">
        <v>2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IFERROR(__xludf.DUMMYFUNCTION("IMPORTRANGE(""https://docs.google.com/spreadsheets/d/1QqKyyYR6Q21VydFLVH3TRQUabQu_ym0Zz7PgGX0-kHA/edit?usp=sharing"",""แผน!EG56"")"),1400)</f>
        <v>1400</v>
      </c>
      <c r="J327" s="421">
        <f ca="1">J338+J341+J342+J343</f>
        <v>2025</v>
      </c>
      <c r="K327" s="422">
        <f ca="1">IF(I327&gt;0,J327*100/I327,0)</f>
        <v>144.64285714285714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1016000</v>
      </c>
      <c r="M328" s="154">
        <f t="shared" ca="1" si="149"/>
        <v>1048500</v>
      </c>
      <c r="N328" s="154">
        <f t="shared" ca="1" si="149"/>
        <v>1030903.77</v>
      </c>
      <c r="O328" s="154">
        <f t="shared" ref="O328:O336" ca="1" si="150">IF(L328&gt;0,N328*100/L328,0)</f>
        <v>101.46690649606299</v>
      </c>
      <c r="P328" s="154">
        <f t="shared" ref="P328:P336" ca="1" si="151">IF(M328&gt;0,N328*100/M328,0)</f>
        <v>98.321771101573674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1016000</v>
      </c>
      <c r="M330" s="45">
        <f t="shared" ca="1" si="152"/>
        <v>1048500</v>
      </c>
      <c r="N330" s="45">
        <f t="shared" ca="1" si="152"/>
        <v>1030903.77</v>
      </c>
      <c r="O330" s="45">
        <f t="shared" ca="1" si="150"/>
        <v>101.46690649606299</v>
      </c>
      <c r="P330" s="45">
        <f t="shared" ca="1" si="151"/>
        <v>98.321771101573674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166000</v>
      </c>
      <c r="M331" s="38">
        <f t="shared" ca="1" si="153"/>
        <v>168500</v>
      </c>
      <c r="N331" s="38">
        <f t="shared" ca="1" si="153"/>
        <v>150903.76999999999</v>
      </c>
      <c r="O331" s="38">
        <f t="shared" ca="1" si="150"/>
        <v>90.905885542168662</v>
      </c>
      <c r="P331" s="38">
        <f t="shared" ca="1" si="151"/>
        <v>89.557133531157262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IFERROR(__xludf.DUMMYFUNCTION("IMPORTRANGE(""https://docs.google.com/spreadsheets/d/1MeEWN-I1oV_STSDYn1IFDPWt_1FKiwhDph83XaGc0o0/edit?usp=sharing"",""งบพรบ!EM56"")"),166000)</f>
        <v>166000</v>
      </c>
      <c r="M333" s="45">
        <f ca="1">IFERROR(__xludf.DUMMYFUNCTION("IMPORTRANGE(""https://docs.google.com/spreadsheets/d/1MeEWN-I1oV_STSDYn1IFDPWt_1FKiwhDph83XaGc0o0/edit?usp=sharing"",""งบพรบ!ER56"")"),168500)</f>
        <v>168500</v>
      </c>
      <c r="N333" s="45">
        <f ca="1">IFERROR(__xludf.DUMMYFUNCTION("IMPORTRANGE(""https://docs.google.com/spreadsheets/d/1MeEWN-I1oV_STSDYn1IFDPWt_1FKiwhDph83XaGc0o0/edit?usp=sharing"",""งบพรบ!ET56"")"),150903.77)</f>
        <v>150903.76999999999</v>
      </c>
      <c r="O333" s="45">
        <f t="shared" ca="1" si="150"/>
        <v>90.905885542168662</v>
      </c>
      <c r="P333" s="45">
        <f t="shared" ca="1" si="151"/>
        <v>89.557133531157262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850000</v>
      </c>
      <c r="M334" s="38">
        <f t="shared" ca="1" si="154"/>
        <v>880000</v>
      </c>
      <c r="N334" s="38">
        <f t="shared" ca="1" si="154"/>
        <v>880000</v>
      </c>
      <c r="O334" s="38">
        <f t="shared" ca="1" si="150"/>
        <v>103.52941176470588</v>
      </c>
      <c r="P334" s="38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IFERROR(__xludf.DUMMYFUNCTION("IMPORTRANGE(""https://docs.google.com/spreadsheets/d/1MeEWN-I1oV_STSDYn1IFDPWt_1FKiwhDph83XaGc0o0/edit?usp=sharing"",""งบพรบ!EP56"")"),850000)</f>
        <v>850000</v>
      </c>
      <c r="M336" s="45">
        <f ca="1">IFERROR(__xludf.DUMMYFUNCTION("IMPORTRANGE(""https://docs.google.com/spreadsheets/d/1MeEWN-I1oV_STSDYn1IFDPWt_1FKiwhDph83XaGc0o0/edit?usp=sharing"",""งบพรบ!ES56"")"),880000)</f>
        <v>880000</v>
      </c>
      <c r="N336" s="45">
        <f ca="1">IFERROR(__xludf.DUMMYFUNCTION("IMPORTRANGE(""https://docs.google.com/spreadsheets/d/1MeEWN-I1oV_STSDYn1IFDPWt_1FKiwhDph83XaGc0o0/edit?usp=sharing"",""งบพรบ!EU56"")"),880000)</f>
        <v>880000</v>
      </c>
      <c r="O336" s="45">
        <f t="shared" ca="1" si="150"/>
        <v>103.52941176470588</v>
      </c>
      <c r="P336" s="45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IFERROR(__xludf.DUMMYFUNCTION("IMPORTRANGE(""https://docs.google.com/spreadsheets/d/1QqKyyYR6Q21VydFLVH3TRQUabQu_ym0Zz7PgGX0-kHA/edit?usp=sharing"",""แผน!EG56"")"),1400)</f>
        <v>1400</v>
      </c>
      <c r="J338" s="37">
        <f ca="1">IFERROR(__xludf.DUMMYFUNCTION("IMPORTRANGE(""https://docs.google.com/spreadsheets/d/1kVcqe37tkHyjCSG3S0O1AXqVkqjo8mSIZil3BcpIysc/edit?usp=sharing"",""ศูนย์!D56"")"),1995)</f>
        <v>1995</v>
      </c>
      <c r="K338" s="38">
        <f ca="1">IF(I338&gt;0,J338*100/I338,0)</f>
        <v>142.5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IFERROR(__xludf.DUMMYFUNCTION("IMPORTRANGE(""https://docs.google.com/spreadsheets/d/1QqKyyYR6Q21VydFLVH3TRQUabQu_ym0Zz7PgGX0-kHA/edit?usp=sharing"",""แผน!EH56"")"),4)</f>
        <v>4</v>
      </c>
      <c r="J340" s="37">
        <f ca="1">IFERROR(__xludf.DUMMYFUNCTION("IMPORTRANGE(""https://docs.google.com/spreadsheets/d/1kVcqe37tkHyjCSG3S0O1AXqVkqjo8mSIZil3BcpIysc/edit?usp=sharing"",""ศูนย์!E56"")"),1)</f>
        <v>1</v>
      </c>
      <c r="K340" s="38">
        <f ca="1">IF(I340&gt;0,J340*100/I340,0)</f>
        <v>25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IFERROR(__xludf.DUMMYFUNCTION("IMPORTRANGE(""https://docs.google.com/spreadsheets/d/1kVcqe37tkHyjCSG3S0O1AXqVkqjo8mSIZil3BcpIysc/edit?usp=sharing"",""ศูนย์!F56"")"),30)</f>
        <v>30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IFERROR(__xludf.DUMMYFUNCTION("IMPORTRANGE(""https://docs.google.com/spreadsheets/d/1kVcqe37tkHyjCSG3S0O1AXqVkqjo8mSIZil3BcpIysc/edit?usp=sharing"",""ศูนย์!G56"")"),0)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IFERROR(__xludf.DUMMYFUNCTION("IMPORTRANGE(""https://docs.google.com/spreadsheets/d/1kVcqe37tkHyjCSG3S0O1AXqVkqjo8mSIZil3BcpIysc/edit?usp=sharing"",""ศูนย์!H56"")"),0)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867850</v>
      </c>
      <c r="M345" s="154">
        <f t="shared" ca="1" si="155"/>
        <v>904850</v>
      </c>
      <c r="N345" s="154">
        <f t="shared" ca="1" si="155"/>
        <v>798311.1</v>
      </c>
      <c r="O345" s="154">
        <f t="shared" ref="O345:O353" ca="1" si="156">IF(L345&gt;0,N345*100/L345,0)</f>
        <v>91.987221294002424</v>
      </c>
      <c r="P345" s="154">
        <f t="shared" ref="P345:P353" ca="1" si="157">IF(M345&gt;0,N345*100/M345,0)</f>
        <v>88.22579433055202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867850</v>
      </c>
      <c r="M347" s="45">
        <f t="shared" ca="1" si="158"/>
        <v>904850</v>
      </c>
      <c r="N347" s="45">
        <f t="shared" ca="1" si="158"/>
        <v>798311.1</v>
      </c>
      <c r="O347" s="45">
        <f t="shared" ca="1" si="156"/>
        <v>91.987221294002424</v>
      </c>
      <c r="P347" s="45">
        <f t="shared" ca="1" si="157"/>
        <v>88.22579433055202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822850</v>
      </c>
      <c r="M348" s="38">
        <f t="shared" ca="1" si="159"/>
        <v>859850</v>
      </c>
      <c r="N348" s="38">
        <f t="shared" ca="1" si="159"/>
        <v>753311.1</v>
      </c>
      <c r="O348" s="38">
        <f t="shared" ca="1" si="156"/>
        <v>91.54901865467582</v>
      </c>
      <c r="P348" s="38">
        <f t="shared" ca="1" si="157"/>
        <v>87.60959469674944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IFERROR(__xludf.DUMMYFUNCTION("IMPORTRANGE(""https://docs.google.com/spreadsheets/d/1MeEWN-I1oV_STSDYn1IFDPWt_1FKiwhDph83XaGc0o0/edit?usp=sharing"",""งบพรบ!EW56"")"),822850)</f>
        <v>822850</v>
      </c>
      <c r="M350" s="45">
        <f ca="1">IFERROR(__xludf.DUMMYFUNCTION("IMPORTRANGE(""https://docs.google.com/spreadsheets/d/1MeEWN-I1oV_STSDYn1IFDPWt_1FKiwhDph83XaGc0o0/edit?usp=sharing"",""งบพรบ!FB56"")"),859850)</f>
        <v>859850</v>
      </c>
      <c r="N350" s="45">
        <f ca="1">IFERROR(__xludf.DUMMYFUNCTION("IMPORTRANGE(""https://docs.google.com/spreadsheets/d/1MeEWN-I1oV_STSDYn1IFDPWt_1FKiwhDph83XaGc0o0/edit?usp=sharing"",""งบพรบ!FD56"")"),753311.1)</f>
        <v>753311.1</v>
      </c>
      <c r="O350" s="45">
        <f t="shared" ca="1" si="156"/>
        <v>91.54901865467582</v>
      </c>
      <c r="P350" s="45">
        <f t="shared" ca="1" si="157"/>
        <v>87.60959469674944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45000</v>
      </c>
      <c r="M351" s="38">
        <f t="shared" ca="1" si="160"/>
        <v>45000</v>
      </c>
      <c r="N351" s="38">
        <f t="shared" ca="1" si="160"/>
        <v>45000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IFERROR(__xludf.DUMMYFUNCTION("IMPORTRANGE(""https://docs.google.com/spreadsheets/d/1MeEWN-I1oV_STSDYn1IFDPWt_1FKiwhDph83XaGc0o0/edit?usp=sharing"",""งบพรบ!EZ56"")"),45000)</f>
        <v>45000</v>
      </c>
      <c r="M353" s="45">
        <f ca="1">IFERROR(__xludf.DUMMYFUNCTION("IMPORTRANGE(""https://docs.google.com/spreadsheets/d/1MeEWN-I1oV_STSDYn1IFDPWt_1FKiwhDph83XaGc0o0/edit?usp=sharing"",""งบพรบ!FC56"")"),45000)</f>
        <v>45000</v>
      </c>
      <c r="N353" s="45">
        <f ca="1">IFERROR(__xludf.DUMMYFUNCTION("IMPORTRANGE(""https://docs.google.com/spreadsheets/d/1MeEWN-I1oV_STSDYn1IFDPWt_1FKiwhDph83XaGc0o0/edit?usp=sharing"",""งบพรบ!FE56"")"),45000)</f>
        <v>45000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IFERROR(__xludf.DUMMYFUNCTION("IMPORTRANGE(""https://docs.google.com/spreadsheets/d/1QqKyyYR6Q21VydFLVH3TRQUabQu_ym0Zz7PgGX0-kHA/edit?usp=sharing"",""แผน!EP56"")"),270)</f>
        <v>270</v>
      </c>
      <c r="J355" s="438">
        <f ca="1">J362</f>
        <v>316</v>
      </c>
      <c r="K355" s="439">
        <f ca="1">IF(I355&gt;0,J355*100/I355,0)</f>
        <v>117.03703703703704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IFERROR(__xludf.DUMMYFUNCTION("IMPORTRANGE(""https://docs.google.com/spreadsheets/d/1XWAQStnk-4SwqDmLtmXYiTMKHgktTP8We1SCoS47DrQ/edit?usp=sharing"",""จัดที่ดิน!W56"")"),387)</f>
        <v>387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IFERROR(__xludf.DUMMYFUNCTION("IMPORTRANGE(""https://docs.google.com/spreadsheets/d/1QqKyyYR6Q21VydFLVH3TRQUabQu_ym0Zz7PgGX0-kHA/edit?usp=sharing"",""แผน!EO56"")"),3000)</f>
        <v>3000</v>
      </c>
      <c r="J359" s="37">
        <f ca="1">IFERROR(__xludf.DUMMYFUNCTION("IMPORTRANGE(""https://docs.google.com/spreadsheets/d/1XWAQStnk-4SwqDmLtmXYiTMKHgktTP8We1SCoS47DrQ/edit?usp=sharing"",""จัดที่ดิน!X56"")"),3825.10999999999)</f>
        <v>3825.1099999999901</v>
      </c>
      <c r="K359" s="38">
        <f t="shared" ca="1" si="161"/>
        <v>127.50366666666633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IFERROR(__xludf.DUMMYFUNCTION("IMPORTRANGE(""https://docs.google.com/spreadsheets/d/1QqKyyYR6Q21VydFLVH3TRQUabQu_ym0Zz7PgGX0-kHA/edit?usp=sharing"",""แผน!EP56"")"),270)</f>
        <v>270</v>
      </c>
      <c r="J360" s="37">
        <f ca="1">IFERROR(__xludf.DUMMYFUNCTION("IMPORTRANGE(""https://docs.google.com/spreadsheets/d/1XWAQStnk-4SwqDmLtmXYiTMKHgktTP8We1SCoS47DrQ/edit?usp=sharing"",""จัดที่ดิน!Y56"")"),300)</f>
        <v>300</v>
      </c>
      <c r="K360" s="38">
        <f t="shared" ca="1" si="161"/>
        <v>111.11111111111111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IFERROR(__xludf.DUMMYFUNCTION("IMPORTRANGE(""https://docs.google.com/spreadsheets/d/1XWAQStnk-4SwqDmLtmXYiTMKHgktTP8We1SCoS47DrQ/edit?usp=sharing"",""จัดที่ดิน!Z56"")"),2172.05)</f>
        <v>2172.0500000000002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IFERROR(__xludf.DUMMYFUNCTION("IMPORTRANGE(""https://docs.google.com/spreadsheets/d/1QqKyyYR6Q21VydFLVH3TRQUabQu_ym0Zz7PgGX0-kHA/edit?usp=sharing"",""แผน!EP56"")"),270)</f>
        <v>270</v>
      </c>
      <c r="J362" s="37">
        <f ca="1">IFERROR(__xludf.DUMMYFUNCTION("IMPORTRANGE(""https://docs.google.com/spreadsheets/d/1XWAQStnk-4SwqDmLtmXYiTMKHgktTP8We1SCoS47DrQ/edit?usp=sharing"",""จัดที่ดิน!AA56"")"),316)</f>
        <v>316</v>
      </c>
      <c r="K362" s="38">
        <f t="shared" ca="1" si="161"/>
        <v>117.03703703703704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IFERROR(__xludf.DUMMYFUNCTION("IMPORTRANGE(""https://docs.google.com/spreadsheets/d/1XWAQStnk-4SwqDmLtmXYiTMKHgktTP8We1SCoS47DrQ/edit?usp=sharing"",""จัดที่ดิน!AB56"")"),3184.51)</f>
        <v>3184.51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420</v>
      </c>
      <c r="J364" s="452">
        <f t="shared" ca="1" si="162"/>
        <v>500</v>
      </c>
      <c r="K364" s="453">
        <f t="shared" ca="1" si="161"/>
        <v>119.04761904761905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IFERROR(__xludf.DUMMYFUNCTION("IMPORTRANGE(""https://docs.google.com/spreadsheets/d/1QqKyyYR6Q21VydFLVH3TRQUabQu_ym0Zz7PgGX0-kHA/edit?usp=sharing"",""แผน!EJ56"")"),200)</f>
        <v>200</v>
      </c>
      <c r="J365" s="462">
        <f ca="1">J372</f>
        <v>194</v>
      </c>
      <c r="K365" s="463">
        <f t="shared" ca="1" si="161"/>
        <v>97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IFERROR(__xludf.DUMMYFUNCTION("IMPORTRANGE(""https://docs.google.com/spreadsheets/d/1XWAQStnk-4SwqDmLtmXYiTMKHgktTP8We1SCoS47DrQ/edit?usp=sharing"",""จัดที่ดิน!E56"")"),258)</f>
        <v>258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IFERROR(__xludf.DUMMYFUNCTION("IMPORTRANGE(""https://docs.google.com/spreadsheets/d/1QqKyyYR6Q21VydFLVH3TRQUabQu_ym0Zz7PgGX0-kHA/edit?usp=sharing"",""แผน!EI56"")"),2000)</f>
        <v>2000</v>
      </c>
      <c r="J369" s="37">
        <f ca="1">IFERROR(__xludf.DUMMYFUNCTION("IMPORTRANGE(""https://docs.google.com/spreadsheets/d/1XWAQStnk-4SwqDmLtmXYiTMKHgktTP8We1SCoS47DrQ/edit?usp=sharing"",""จัดที่ดิน!F56"")"),2787.72)</f>
        <v>2787.72</v>
      </c>
      <c r="K369" s="38">
        <f t="shared" ca="1" si="163"/>
        <v>139.386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IFERROR(__xludf.DUMMYFUNCTION("IMPORTRANGE(""https://docs.google.com/spreadsheets/d/1QqKyyYR6Q21VydFLVH3TRQUabQu_ym0Zz7PgGX0-kHA/edit?usp=sharing"",""แผน!EJ56"")"),200)</f>
        <v>200</v>
      </c>
      <c r="J370" s="37">
        <f ca="1">IFERROR(__xludf.DUMMYFUNCTION("IMPORTRANGE(""https://docs.google.com/spreadsheets/d/1XWAQStnk-4SwqDmLtmXYiTMKHgktTP8We1SCoS47DrQ/edit?usp=sharing"",""จัดที่ดิน!G56"")"),179)</f>
        <v>179</v>
      </c>
      <c r="K370" s="38">
        <f t="shared" ca="1" si="163"/>
        <v>89.5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IFERROR(__xludf.DUMMYFUNCTION("IMPORTRANGE(""https://docs.google.com/spreadsheets/d/1XWAQStnk-4SwqDmLtmXYiTMKHgktTP8We1SCoS47DrQ/edit?usp=sharing"",""จัดที่ดิน!H56"")"),1225.17)</f>
        <v>1225.17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IFERROR(__xludf.DUMMYFUNCTION("IMPORTRANGE(""https://docs.google.com/spreadsheets/d/1QqKyyYR6Q21VydFLVH3TRQUabQu_ym0Zz7PgGX0-kHA/edit?usp=sharing"",""แผน!EJ56"")"),200)</f>
        <v>200</v>
      </c>
      <c r="J372" s="37">
        <f ca="1">IFERROR(__xludf.DUMMYFUNCTION("IMPORTRANGE(""https://docs.google.com/spreadsheets/d/1XWAQStnk-4SwqDmLtmXYiTMKHgktTP8We1SCoS47DrQ/edit?usp=sharing"",""จัดที่ดิน!I56"")"),194)</f>
        <v>194</v>
      </c>
      <c r="K372" s="38">
        <f t="shared" ca="1" si="163"/>
        <v>97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IFERROR(__xludf.DUMMYFUNCTION("IMPORTRANGE(""https://docs.google.com/spreadsheets/d/1XWAQStnk-4SwqDmLtmXYiTMKHgktTP8We1SCoS47DrQ/edit?usp=sharing"",""จัดที่ดิน!J56"")"),2178.88)</f>
        <v>2178.88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IFERROR(__xludf.DUMMYFUNCTION("IMPORTRANGE(""https://docs.google.com/spreadsheets/d/1QqKyyYR6Q21VydFLVH3TRQUabQu_ym0Zz7PgGX0-kHA/edit?usp=sharing"",""แผน!EU56"")"),220)</f>
        <v>220</v>
      </c>
      <c r="J374" s="462">
        <f ca="1">J381</f>
        <v>306</v>
      </c>
      <c r="K374" s="463">
        <f t="shared" ca="1" si="163"/>
        <v>139.09090909090909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IFERROR(__xludf.DUMMYFUNCTION("IMPORTRANGE(""https://docs.google.com/spreadsheets/d/1XWAQStnk-4SwqDmLtmXYiTMKHgktTP8We1SCoS47DrQ/edit?usp=sharing"",""จัดที่ดิน!AH56"")"),129)</f>
        <v>129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IFERROR(__xludf.DUMMYFUNCTION("IMPORTRANGE(""https://docs.google.com/spreadsheets/d/1QqKyyYR6Q21VydFLVH3TRQUabQu_ym0Zz7PgGX0-kHA/edit?usp=sharing"",""แผน!ET56"")"),1000)</f>
        <v>1000</v>
      </c>
      <c r="J378" s="37">
        <f ca="1">IFERROR(__xludf.DUMMYFUNCTION("IMPORTRANGE(""https://docs.google.com/spreadsheets/d/1XWAQStnk-4SwqDmLtmXYiTMKHgktTP8We1SCoS47DrQ/edit?usp=sharing"",""จัดที่ดิน!AI56"")"),1037.39)</f>
        <v>1037.3900000000001</v>
      </c>
      <c r="K378" s="38">
        <f t="shared" ca="1" si="164"/>
        <v>103.73900000000002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IFERROR(__xludf.DUMMYFUNCTION("IMPORTRANGE(""https://docs.google.com/spreadsheets/d/1QqKyyYR6Q21VydFLVH3TRQUabQu_ym0Zz7PgGX0-kHA/edit?usp=sharing"",""แผน!EU56"")"),220)</f>
        <v>220</v>
      </c>
      <c r="J379" s="37">
        <f ca="1">IFERROR(__xludf.DUMMYFUNCTION("IMPORTRANGE(""https://docs.google.com/spreadsheets/d/1XWAQStnk-4SwqDmLtmXYiTMKHgktTP8We1SCoS47DrQ/edit?usp=sharing"",""จัดที่ดิน!AJ56"")"),306)</f>
        <v>306</v>
      </c>
      <c r="K379" s="38">
        <f t="shared" ca="1" si="164"/>
        <v>139.09090909090909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IFERROR(__xludf.DUMMYFUNCTION("IMPORTRANGE(""https://docs.google.com/spreadsheets/d/1XWAQStnk-4SwqDmLtmXYiTMKHgktTP8We1SCoS47DrQ/edit?usp=sharing"",""จัดที่ดิน!AK56"")"),4061.96)</f>
        <v>4061.96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IFERROR(__xludf.DUMMYFUNCTION("IMPORTRANGE(""https://docs.google.com/spreadsheets/d/1QqKyyYR6Q21VydFLVH3TRQUabQu_ym0Zz7PgGX0-kHA/edit?usp=sharing"",""แผน!EU56"")"),220)</f>
        <v>220</v>
      </c>
      <c r="J381" s="37">
        <f ca="1">IFERROR(__xludf.DUMMYFUNCTION("IMPORTRANGE(""https://docs.google.com/spreadsheets/d/1XWAQStnk-4SwqDmLtmXYiTMKHgktTP8We1SCoS47DrQ/edit?usp=sharing"",""จัดที่ดิน!AL56"")"),306)</f>
        <v>306</v>
      </c>
      <c r="K381" s="38">
        <f t="shared" ca="1" si="164"/>
        <v>139.09090909090909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IFERROR(__xludf.DUMMYFUNCTION("IMPORTRANGE(""https://docs.google.com/spreadsheets/d/1XWAQStnk-4SwqDmLtmXYiTMKHgktTP8We1SCoS47DrQ/edit?usp=sharing"",""จัดที่ดิน!AM56"")"),4101.94)</f>
        <v>4101.9399999999996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IFERROR(__xludf.DUMMYFUNCTION("IMPORTRANGE(""https://docs.google.com/spreadsheets/d/1QqKyyYR6Q21VydFLVH3TRQUabQu_ym0Zz7PgGX0-kHA/edit?usp=sharing"",""แผน!EW56"")"),60)</f>
        <v>60</v>
      </c>
      <c r="J385" s="365">
        <f ca="1">IFERROR(__xludf.DUMMYFUNCTION("IMPORTRANGE(""https://docs.google.com/spreadsheets/d/1XWAQStnk-4SwqDmLtmXYiTMKHgktTP8We1SCoS47DrQ/edit?usp=sharing"",""จัดที่ดิน!AP56"")"),16)</f>
        <v>16</v>
      </c>
      <c r="K385" s="472">
        <f ca="1">IF(I385&gt;0,J385*100/I385,0)</f>
        <v>26.666666666666668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IFERROR(__xludf.DUMMYFUNCTION("IMPORTRANGE(""https://docs.google.com/spreadsheets/d/1MeEWN-I1oV_STSDYn1IFDPWt_1FKiwhDph83XaGc0o0/edit?usp=sharing"",""งบพรบ!FG56"")"),0)</f>
        <v>0</v>
      </c>
      <c r="M394" s="45">
        <f ca="1">IFERROR(__xludf.DUMMYFUNCTION("IMPORTRANGE(""https://docs.google.com/spreadsheets/d/1MeEWN-I1oV_STSDYn1IFDPWt_1FKiwhDph83XaGc0o0/edit?usp=sharing"",""งบพรบ!FL56"")"),0)</f>
        <v>0</v>
      </c>
      <c r="N394" s="45">
        <f ca="1">IFERROR(__xludf.DUMMYFUNCTION("IMPORTRANGE(""https://docs.google.com/spreadsheets/d/1MeEWN-I1oV_STSDYn1IFDPWt_1FKiwhDph83XaGc0o0/edit?usp=sharing"",""งบพรบ!FN56"")"),0)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IFERROR(__xludf.DUMMYFUNCTION("IMPORTRANGE(""https://docs.google.com/spreadsheets/d/1MeEWN-I1oV_STSDYn1IFDPWt_1FKiwhDph83XaGc0o0/edit?usp=sharing"",""งบพรบ!FJ56"")"),0)</f>
        <v>0</v>
      </c>
      <c r="M397" s="45">
        <f ca="1">IFERROR(__xludf.DUMMYFUNCTION("IMPORTRANGE(""https://docs.google.com/spreadsheets/d/1MeEWN-I1oV_STSDYn1IFDPWt_1FKiwhDph83XaGc0o0/edit?usp=sharing"",""งบพรบ!FM56"")"),0)</f>
        <v>0</v>
      </c>
      <c r="N397" s="45">
        <f ca="1">IFERROR(__xludf.DUMMYFUNCTION("IMPORTRANGE(""https://docs.google.com/spreadsheets/d/1MeEWN-I1oV_STSDYn1IFDPWt_1FKiwhDph83XaGc0o0/edit?usp=sharing"",""งบพรบ!FO56"")"),0)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IFERROR(__xludf.DUMMYFUNCTION("IMPORTRANGE(""https://docs.google.com/spreadsheets/d/1MeEWN-I1oV_STSDYn1IFDPWt_1FKiwhDph83XaGc0o0/edit?usp=sharing"",""งบพรบ!FQ56"")"),0)</f>
        <v>0</v>
      </c>
      <c r="M407" s="45">
        <f ca="1">IFERROR(__xludf.DUMMYFUNCTION("IMPORTRANGE(""https://docs.google.com/spreadsheets/d/1MeEWN-I1oV_STSDYn1IFDPWt_1FKiwhDph83XaGc0o0/edit?usp=sharing"",""งบพรบ!FV56"")"),0)</f>
        <v>0</v>
      </c>
      <c r="N407" s="45">
        <f ca="1">IFERROR(__xludf.DUMMYFUNCTION("IMPORTRANGE(""https://docs.google.com/spreadsheets/d/1MeEWN-I1oV_STSDYn1IFDPWt_1FKiwhDph83XaGc0o0/edit?usp=sharing"",""งบพรบ!FX56"")"),0)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IFERROR(__xludf.DUMMYFUNCTION("IMPORTRANGE(""https://docs.google.com/spreadsheets/d/1MeEWN-I1oV_STSDYn1IFDPWt_1FKiwhDph83XaGc0o0/edit?usp=sharing"",""งบพรบ!FT56"")"),0)</f>
        <v>0</v>
      </c>
      <c r="M410" s="45">
        <f ca="1">IFERROR(__xludf.DUMMYFUNCTION("IMPORTRANGE(""https://docs.google.com/spreadsheets/d/1MeEWN-I1oV_STSDYn1IFDPWt_1FKiwhDph83XaGc0o0/edit?usp=sharing"",""งบพรบ!FW56"")"),0)</f>
        <v>0</v>
      </c>
      <c r="N410" s="45">
        <f ca="1">IFERROR(__xludf.DUMMYFUNCTION("IMPORTRANGE(""https://docs.google.com/spreadsheets/d/1MeEWN-I1oV_STSDYn1IFDPWt_1FKiwhDph83XaGc0o0/edit?usp=sharing"",""งบพรบ!FY56"")"),0)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1384298</v>
      </c>
      <c r="M414" s="518">
        <f t="shared" ca="1" si="181"/>
        <v>1379458</v>
      </c>
      <c r="N414" s="518">
        <f t="shared" si="181"/>
        <v>1181991.3500000001</v>
      </c>
      <c r="O414" s="518">
        <f ca="1">IF(L414&gt;0,N414*100/L414,0)</f>
        <v>85.38561422468284</v>
      </c>
      <c r="P414" s="518">
        <f ca="1">IF(M414&gt;0,N414*100/M414,0)</f>
        <v>85.685200274310645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95460</v>
      </c>
      <c r="M419" s="154">
        <f t="shared" ca="1" si="184"/>
        <v>90620</v>
      </c>
      <c r="N419" s="154">
        <f t="shared" si="184"/>
        <v>56449</v>
      </c>
      <c r="O419" s="154">
        <f t="shared" ref="O419:O424" ca="1" si="185">IF(L419&gt;0,N419*100/L419,0)</f>
        <v>59.133668552273207</v>
      </c>
      <c r="P419" s="154">
        <f t="shared" ref="P419:P424" ca="1" si="186">IF(M419&gt;0,N419*100/M419,0)</f>
        <v>62.291988523504742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95460</v>
      </c>
      <c r="M421" s="45">
        <f t="shared" ca="1" si="187"/>
        <v>90620</v>
      </c>
      <c r="N421" s="45">
        <f t="shared" si="187"/>
        <v>56449</v>
      </c>
      <c r="O421" s="45">
        <f t="shared" ca="1" si="185"/>
        <v>59.133668552273207</v>
      </c>
      <c r="P421" s="45">
        <f t="shared" ca="1" si="186"/>
        <v>62.291988523504742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95460</v>
      </c>
      <c r="M422" s="38">
        <f t="shared" ca="1" si="188"/>
        <v>90620</v>
      </c>
      <c r="N422" s="38">
        <f t="shared" si="188"/>
        <v>56449</v>
      </c>
      <c r="O422" s="38">
        <f t="shared" ca="1" si="185"/>
        <v>59.133668552273207</v>
      </c>
      <c r="P422" s="38">
        <f t="shared" ca="1" si="186"/>
        <v>62.291988523504742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IFERROR(__xludf.DUMMYFUNCTION("IMPORTRANGE(""https://docs.google.com/spreadsheets/d/1QqKyyYR6Q21VydFLVH3TRQUabQu_ym0Zz7PgGX0-kHA/edit?usp=sharing"",""แผน!EY56"")"),95460)</f>
        <v>95460</v>
      </c>
      <c r="M424" s="45">
        <f ca="1">L424-4840</f>
        <v>90620</v>
      </c>
      <c r="N424" s="45">
        <f>N425+N426+N427+N428</f>
        <v>56449</v>
      </c>
      <c r="O424" s="45">
        <f t="shared" ca="1" si="185"/>
        <v>59.133668552273207</v>
      </c>
      <c r="P424" s="45">
        <f t="shared" ca="1" si="186"/>
        <v>62.291988523504742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40889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f>11960+3600</f>
        <v>15560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IFERROR(__xludf.DUMMYFUNCTION("IMPORTRANGE(""https://docs.google.com/spreadsheets/d/1QqKyyYR6Q21VydFLVH3TRQUabQu_ym0Zz7PgGX0-kHA/edit?usp=sharing"",""แผน!FC56"")"),20)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IFERROR(__xludf.DUMMYFUNCTION("IMPORTRANGE(""https://docs.google.com/spreadsheets/d/1QqKyyYR6Q21VydFLVH3TRQUabQu_ym0Zz7PgGX0-kHA/edit?usp=sharing"",""แผน!FD56"")"),0)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IFERROR(__xludf.DUMMYFUNCTION("IMPORTRANGE(""https://docs.google.com/spreadsheets/d/1QqKyyYR6Q21VydFLVH3TRQUabQu_ym0Zz7PgGX0-kHA/edit?usp=sharing"",""แผน!FE56"")"),0)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IFERROR(__xludf.DUMMYFUNCTION("IMPORTRANGE(""https://docs.google.com/spreadsheets/d/1QqKyyYR6Q21VydFLVH3TRQUabQu_ym0Zz7PgGX0-kHA/edit?usp=sharing"",""แผน!FF56"")"),20)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15</v>
      </c>
      <c r="J442" s="552">
        <f t="shared" si="195"/>
        <v>15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15</v>
      </c>
      <c r="J443" s="533">
        <f t="shared" si="196"/>
        <v>15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68160</v>
      </c>
      <c r="M444" s="191">
        <f t="shared" ca="1" si="197"/>
        <v>68160</v>
      </c>
      <c r="N444" s="191">
        <f t="shared" si="197"/>
        <v>52615</v>
      </c>
      <c r="O444" s="191">
        <f t="shared" ref="O444:O449" ca="1" si="198">IF(L444&gt;0,N444*100/L444,0)</f>
        <v>77.193368544600943</v>
      </c>
      <c r="P444" s="191">
        <f t="shared" ref="P444:P449" ca="1" si="199">IF(M444&gt;0,N444*100/M444,0)</f>
        <v>77.193368544600943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68160</v>
      </c>
      <c r="M446" s="45">
        <f t="shared" ca="1" si="200"/>
        <v>68160</v>
      </c>
      <c r="N446" s="45">
        <f t="shared" si="200"/>
        <v>52615</v>
      </c>
      <c r="O446" s="45">
        <f t="shared" ca="1" si="198"/>
        <v>77.193368544600943</v>
      </c>
      <c r="P446" s="45">
        <f t="shared" ca="1" si="199"/>
        <v>77.193368544600943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68160</v>
      </c>
      <c r="M447" s="38">
        <f t="shared" ca="1" si="201"/>
        <v>68160</v>
      </c>
      <c r="N447" s="38">
        <f t="shared" si="201"/>
        <v>52615</v>
      </c>
      <c r="O447" s="38">
        <f t="shared" ca="1" si="198"/>
        <v>77.193368544600943</v>
      </c>
      <c r="P447" s="38">
        <f t="shared" ca="1" si="199"/>
        <v>77.193368544600943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IFERROR(__xludf.DUMMYFUNCTION("IMPORTRANGE(""https://docs.google.com/spreadsheets/d/1QqKyyYR6Q21VydFLVH3TRQUabQu_ym0Zz7PgGX0-kHA/edit?usp=sharing"",""แผน!FJ56"")"),68160)</f>
        <v>68160</v>
      </c>
      <c r="M449" s="45">
        <f ca="1">L449</f>
        <v>68160</v>
      </c>
      <c r="N449" s="45">
        <f>N450+N451+N452+N453</f>
        <v>52615</v>
      </c>
      <c r="O449" s="45">
        <f t="shared" ca="1" si="198"/>
        <v>77.193368544600943</v>
      </c>
      <c r="P449" s="45">
        <f t="shared" ca="1" si="199"/>
        <v>77.193368544600943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21740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17000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f>4660+675+3600+2200+2740</f>
        <v>13875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IFERROR(__xludf.DUMMYFUNCTION("IMPORTRANGE(""https://docs.google.com/spreadsheets/d/1QqKyyYR6Q21VydFLVH3TRQUabQu_ym0Zz7PgGX0-kHA/edit?usp=sharing"",""แผน!FN56"")"),15)</f>
        <v>15</v>
      </c>
      <c r="J460" s="181">
        <v>15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IFERROR(__xludf.DUMMYFUNCTION("IMPORTRANGE(""https://docs.google.com/spreadsheets/d/1QqKyyYR6Q21VydFLVH3TRQUabQu_ym0Zz7PgGX0-kHA/edit?usp=sharing"",""แผน!FO56"")"),15)</f>
        <v>15</v>
      </c>
      <c r="J462" s="181">
        <v>15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IFERROR(__xludf.DUMMYFUNCTION("IMPORTRANGE(""https://docs.google.com/spreadsheets/d/1QqKyyYR6Q21VydFLVH3TRQUabQu_ym0Zz7PgGX0-kHA/edit?usp=sharing"",""แผน!FO56"")"),15)</f>
        <v>15</v>
      </c>
      <c r="J463" s="181">
        <v>15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IFERROR(__xludf.DUMMYFUNCTION("IMPORTRANGE(""https://docs.google.com/spreadsheets/d/1QqKyyYR6Q21VydFLVH3TRQUabQu_ym0Zz7PgGX0-kHA/edit?usp=sharing"",""แผน!FN56"")"),15)</f>
        <v>15</v>
      </c>
      <c r="J464" s="181">
        <v>15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IFERROR(__xludf.DUMMYFUNCTION("IMPORTRANGE(""https://docs.google.com/spreadsheets/d/1QqKyyYR6Q21VydFLVH3TRQUabQu_ym0Zz7PgGX0-kHA/edit?usp=sharing"",""แผน!FX56"")"),41)</f>
        <v>41</v>
      </c>
      <c r="J465" s="552">
        <f>J485+J489+J492</f>
        <v>41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IFERROR(__xludf.DUMMYFUNCTION("IMPORTRANGE(""https://docs.google.com/spreadsheets/d/1QqKyyYR6Q21VydFLVH3TRQUabQu_ym0Zz7PgGX0-kHA/edit?usp=sharing"",""แผน!FW56"")"),400)</f>
        <v>400</v>
      </c>
      <c r="J466" s="533">
        <f>J495+J498</f>
        <v>400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332943</v>
      </c>
      <c r="M467" s="191">
        <f t="shared" ca="1" si="206"/>
        <v>332943</v>
      </c>
      <c r="N467" s="191">
        <f t="shared" si="206"/>
        <v>302247</v>
      </c>
      <c r="O467" s="191">
        <f t="shared" ref="O467:O472" ca="1" si="207">IF(L467&gt;0,N467*100/L467,0)</f>
        <v>90.780403852911761</v>
      </c>
      <c r="P467" s="191">
        <f t="shared" ref="P467:P472" ca="1" si="208">IF(M467&gt;0,N467*100/M467,0)</f>
        <v>90.780403852911761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332943</v>
      </c>
      <c r="M469" s="45">
        <f t="shared" ca="1" si="209"/>
        <v>332943</v>
      </c>
      <c r="N469" s="45">
        <f t="shared" si="209"/>
        <v>302247</v>
      </c>
      <c r="O469" s="45">
        <f t="shared" ca="1" si="207"/>
        <v>90.780403852911761</v>
      </c>
      <c r="P469" s="45">
        <f t="shared" ca="1" si="208"/>
        <v>90.780403852911761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332943</v>
      </c>
      <c r="M470" s="38">
        <f t="shared" ca="1" si="210"/>
        <v>332943</v>
      </c>
      <c r="N470" s="38">
        <f t="shared" si="210"/>
        <v>302247</v>
      </c>
      <c r="O470" s="38">
        <f t="shared" ca="1" si="207"/>
        <v>90.780403852911761</v>
      </c>
      <c r="P470" s="38">
        <f t="shared" ca="1" si="208"/>
        <v>90.780403852911761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IFERROR(__xludf.DUMMYFUNCTION("IMPORTRANGE(""https://docs.google.com/spreadsheets/d/1QqKyyYR6Q21VydFLVH3TRQUabQu_ym0Zz7PgGX0-kHA/edit?usp=sharing"",""แผน!FS56"")"),332943)</f>
        <v>332943</v>
      </c>
      <c r="M472" s="45">
        <f ca="1">L472</f>
        <v>332943</v>
      </c>
      <c r="N472" s="45">
        <f>N473+N474+N475+N476</f>
        <v>302247</v>
      </c>
      <c r="O472" s="45">
        <f t="shared" ca="1" si="207"/>
        <v>90.780403852911761</v>
      </c>
      <c r="P472" s="45">
        <f t="shared" ca="1" si="208"/>
        <v>90.780403852911761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f>32116+6516+1875+5115</f>
        <v>45622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f>15600+16000+205700+4000</f>
        <v>241300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f>5080+6325+740+1980+1200</f>
        <v>15325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IFERROR(__xludf.DUMMYFUNCTION("IMPORTRANGE(""https://docs.google.com/spreadsheets/d/1QqKyyYR6Q21VydFLVH3TRQUabQu_ym0Zz7PgGX0-kHA/edit?usp=sharing"",""แผน!FY56"")"),360)</f>
        <v>360</v>
      </c>
      <c r="J483" s="181">
        <v>360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IFERROR(__xludf.DUMMYFUNCTION("IMPORTRANGE(""https://docs.google.com/spreadsheets/d/1QqKyyYR6Q21VydFLVH3TRQUabQu_ym0Zz7PgGX0-kHA/edit?usp=sharing"",""แผน!FZ56"")"),36)</f>
        <v>36</v>
      </c>
      <c r="J485" s="181">
        <v>36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IFERROR(__xludf.DUMMYFUNCTION("IMPORTRANGE(""https://docs.google.com/spreadsheets/d/1QqKyyYR6Q21VydFLVH3TRQUabQu_ym0Zz7PgGX0-kHA/edit?usp=sharing"",""แผน!GA56"")"),40)</f>
        <v>40</v>
      </c>
      <c r="J487" s="181">
        <v>40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IFERROR(__xludf.DUMMYFUNCTION("IMPORTRANGE(""https://docs.google.com/spreadsheets/d/1QqKyyYR6Q21VydFLVH3TRQUabQu_ym0Zz7PgGX0-kHA/edit?usp=sharing"",""แผน!GB56"")"),4)</f>
        <v>4</v>
      </c>
      <c r="J489" s="181">
        <v>4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IFERROR(__xludf.DUMMYFUNCTION("IMPORTRANGE(""https://docs.google.com/spreadsheets/d/1QqKyyYR6Q21VydFLVH3TRQUabQu_ym0Zz7PgGX0-kHA/edit?usp=sharing"",""แผน!FY56"")"),360)</f>
        <v>360</v>
      </c>
      <c r="J495" s="181">
        <v>360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IFERROR(__xludf.DUMMYFUNCTION("IMPORTRANGE(""https://docs.google.com/spreadsheets/d/1QqKyyYR6Q21VydFLVH3TRQUabQu_ym0Zz7PgGX0-kHA/edit?usp=sharing"",""แผน!GA56"")"),40)</f>
        <v>40</v>
      </c>
      <c r="J498" s="181">
        <v>40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50</v>
      </c>
      <c r="J522" s="627">
        <f t="shared" ca="1" si="225"/>
        <v>50</v>
      </c>
      <c r="K522" s="628">
        <f ca="1">IF(I522&gt;0,J522*100/I522,0)</f>
        <v>100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427460</v>
      </c>
      <c r="M523" s="191">
        <f t="shared" ca="1" si="226"/>
        <v>427460</v>
      </c>
      <c r="N523" s="191">
        <f t="shared" si="226"/>
        <v>423680</v>
      </c>
      <c r="O523" s="191">
        <f t="shared" ref="O523:O528" ca="1" si="227">IF(L523&gt;0,N523*100/L523,0)</f>
        <v>99.115706732793711</v>
      </c>
      <c r="P523" s="191">
        <f t="shared" ref="P523:P528" ca="1" si="228">IF(M523&gt;0,N523*100/M523,0)</f>
        <v>99.115706732793711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427460</v>
      </c>
      <c r="M525" s="45">
        <f t="shared" ca="1" si="229"/>
        <v>427460</v>
      </c>
      <c r="N525" s="45">
        <f t="shared" si="229"/>
        <v>423680</v>
      </c>
      <c r="O525" s="45">
        <f t="shared" ca="1" si="227"/>
        <v>99.115706732793711</v>
      </c>
      <c r="P525" s="45">
        <f t="shared" ca="1" si="228"/>
        <v>99.115706732793711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427460</v>
      </c>
      <c r="M526" s="38">
        <f t="shared" ca="1" si="230"/>
        <v>427460</v>
      </c>
      <c r="N526" s="38">
        <f t="shared" si="230"/>
        <v>423680</v>
      </c>
      <c r="O526" s="38">
        <f t="shared" ca="1" si="227"/>
        <v>99.115706732793711</v>
      </c>
      <c r="P526" s="38">
        <f t="shared" ca="1" si="228"/>
        <v>99.115706732793711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IFERROR(__xludf.DUMMYFUNCTION("IMPORTRANGE(""https://docs.google.com/spreadsheets/d/1QqKyyYR6Q21VydFLVH3TRQUabQu_ym0Zz7PgGX0-kHA/edit?usp=sharing"",""แผน!GQ56"")"),427460)</f>
        <v>427460</v>
      </c>
      <c r="M528" s="45">
        <f ca="1">L528</f>
        <v>427460</v>
      </c>
      <c r="N528" s="45">
        <f>N529+N530+N531+N532</f>
        <v>423680</v>
      </c>
      <c r="O528" s="45">
        <f t="shared" ca="1" si="227"/>
        <v>99.115706732793711</v>
      </c>
      <c r="P528" s="45">
        <f t="shared" ca="1" si="228"/>
        <v>99.115706732793711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149565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250000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f>8300+3460+12355</f>
        <v>24115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IFERROR(__xludf.DUMMYFUNCTION("IMPORTRANGE(""https://docs.google.com/spreadsheets/d/1QqKyyYR6Q21VydFLVH3TRQUabQu_ym0Zz7PgGX0-kHA/edit?usp=sharing"",""แผน!GU56"")"),50)</f>
        <v>50</v>
      </c>
      <c r="J537" s="190">
        <f ca="1">IF(AND(J538=I538,J539=I539,J540=I540,J541=I541),I537,0)</f>
        <v>50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IFERROR(__xludf.DUMMYFUNCTION("IMPORTRANGE(""https://docs.google.com/spreadsheets/d/1QqKyyYR6Q21VydFLVH3TRQUabQu_ym0Zz7PgGX0-kHA/edit?usp=sharing"",""แผน!GV56"")"),50)</f>
        <v>50</v>
      </c>
      <c r="J538" s="181">
        <v>50</v>
      </c>
      <c r="K538" s="38">
        <f t="shared" ca="1" si="234"/>
        <v>100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IFERROR(__xludf.DUMMYFUNCTION("IMPORTRANGE(""https://docs.google.com/spreadsheets/d/1QqKyyYR6Q21VydFLVH3TRQUabQu_ym0Zz7PgGX0-kHA/edit?usp=sharing"",""แผน!GY56"")"),50)</f>
        <v>50</v>
      </c>
      <c r="J541" s="181">
        <v>50</v>
      </c>
      <c r="K541" s="38">
        <f t="shared" ca="1" si="234"/>
        <v>100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IFERROR(__xludf.DUMMYFUNCTION("IMPORTRANGE(""https://docs.google.com/spreadsheets/d/1QqKyyYR6Q21VydFLVH3TRQUabQu_ym0Zz7PgGX0-kHA/edit?usp=sharing"",""แผน!GZ56"")"),50)</f>
        <v>50</v>
      </c>
      <c r="J542" s="181">
        <v>50</v>
      </c>
      <c r="K542" s="38">
        <f t="shared" ca="1" si="234"/>
        <v>100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289100</v>
      </c>
      <c r="M544" s="154">
        <f t="shared" ca="1" si="236"/>
        <v>289100</v>
      </c>
      <c r="N544" s="154">
        <f t="shared" si="236"/>
        <v>251558.35</v>
      </c>
      <c r="O544" s="154">
        <f t="shared" ref="O544:O549" ca="1" si="237">IF(L544&gt;0,N544*100/L544,0)</f>
        <v>87.014303009339329</v>
      </c>
      <c r="P544" s="154">
        <f t="shared" ref="P544:P549" ca="1" si="238">IF(M544&gt;0,N544*100/M544,0)</f>
        <v>87.014303009339329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289100</v>
      </c>
      <c r="M546" s="45">
        <f t="shared" ca="1" si="240"/>
        <v>289100</v>
      </c>
      <c r="N546" s="45">
        <f t="shared" si="240"/>
        <v>251558.35</v>
      </c>
      <c r="O546" s="45">
        <f t="shared" ca="1" si="237"/>
        <v>87.014303009339329</v>
      </c>
      <c r="P546" s="45">
        <f t="shared" ca="1" si="238"/>
        <v>87.014303009339329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289100</v>
      </c>
      <c r="M547" s="38">
        <f t="shared" ca="1" si="241"/>
        <v>289100</v>
      </c>
      <c r="N547" s="38">
        <f t="shared" si="241"/>
        <v>251558.35</v>
      </c>
      <c r="O547" s="38">
        <f t="shared" ca="1" si="237"/>
        <v>87.014303009339329</v>
      </c>
      <c r="P547" s="38">
        <f t="shared" ca="1" si="238"/>
        <v>87.014303009339329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IFERROR(__xludf.DUMMYFUNCTION("IMPORTRANGE(""https://docs.google.com/spreadsheets/d/1QqKyyYR6Q21VydFLVH3TRQUabQu_ym0Zz7PgGX0-kHA/edit?usp=sharing"",""แผน!HB56"")"),289100)</f>
        <v>289100</v>
      </c>
      <c r="M549" s="45">
        <f ca="1">L549</f>
        <v>289100</v>
      </c>
      <c r="N549" s="45">
        <f>N550+N551+N552+N553+N554</f>
        <v>251558.35</v>
      </c>
      <c r="O549" s="45">
        <f t="shared" ca="1" si="237"/>
        <v>87.014303009339329</v>
      </c>
      <c r="P549" s="45">
        <f t="shared" ca="1" si="238"/>
        <v>87.014303009339329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111411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>82131.35+1720+21296+20000+15000</f>
        <v>140147.35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IFERROR(__xludf.DUMMYFUNCTION("IMPORTRANGE(""https://docs.google.com/spreadsheets/d/1QqKyyYR6Q21VydFLVH3TRQUabQu_ym0Zz7PgGX0-kHA/edit?usp=sharing"",""แผน!HH56"")"),0)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IFERROR(__xludf.DUMMYFUNCTION("IMPORTRANGE(""https://docs.google.com/spreadsheets/d/1QqKyyYR6Q21VydFLVH3TRQUabQu_ym0Zz7PgGX0-kHA/edit?usp=sharing"",""แผน!HG56"")"),0)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IFERROR(__xludf.DUMMYFUNCTION("IMPORTRANGE(""https://docs.google.com/spreadsheets/d/1QqKyyYR6Q21VydFLVH3TRQUabQu_ym0Zz7PgGX0-kHA/edit?usp=sharing"",""แผน!HH56"")"),0)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IFERROR(__xludf.DUMMYFUNCTION("IMPORTRANGE(""https://docs.google.com/spreadsheets/d/1QqKyyYR6Q21VydFLVH3TRQUabQu_ym0Zz7PgGX0-kHA/edit?usp=sharing"",""แผน!HG56"")"),0)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IFERROR(__xludf.DUMMYFUNCTION("IMPORTRANGE(""https://docs.google.com/spreadsheets/d/1QqKyyYR6Q21VydFLVH3TRQUabQu_ym0Zz7PgGX0-kHA/edit?usp=sharing"",""แผน!HH56"")"),0)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IFERROR(__xludf.DUMMYFUNCTION("IMPORTRANGE(""https://docs.google.com/spreadsheets/d/1QqKyyYR6Q21VydFLVH3TRQUabQu_ym0Zz7PgGX0-kHA/edit?usp=sharing"",""แผน!HG56"")"),0)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4079.62</v>
      </c>
      <c r="J592" s="627">
        <f t="shared" si="253"/>
        <v>4079.62</v>
      </c>
      <c r="K592" s="628">
        <f t="shared" ref="K592:K594" ca="1" si="254">IF(I592&gt;0,J592*100/I592,0)</f>
        <v>100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IFERROR(__xludf.DUMMYFUNCTION("IMPORTRANGE(""https://docs.google.com/spreadsheets/d/1QqKyyYR6Q21VydFLVH3TRQUabQu_ym0Zz7PgGX0-kHA/edit?usp=sharing"",""แผน!HJ56"")"),4079.62)</f>
        <v>4079.62</v>
      </c>
      <c r="J593" s="189">
        <f t="shared" ref="J593:J594" si="255">J595+J603+J609</f>
        <v>4079.62</v>
      </c>
      <c r="K593" s="390">
        <f t="shared" ca="1" si="254"/>
        <v>100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IFERROR(__xludf.DUMMYFUNCTION("IMPORTRANGE(""https://docs.google.com/spreadsheets/d/1QqKyyYR6Q21VydFLVH3TRQUabQu_ym0Zz7PgGX0-kHA/edit?usp=sharing"",""แผน!HI56"")"),257)</f>
        <v>257</v>
      </c>
      <c r="J594" s="189">
        <f t="shared" si="255"/>
        <v>257</v>
      </c>
      <c r="K594" s="390">
        <f t="shared" ca="1" si="254"/>
        <v>100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3390.18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206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3390.18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206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679.89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49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679.89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49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9.5500000000000007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2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IFERROR(__xludf.DUMMYFUNCTION("IMPORTRANGE(""https://docs.google.com/spreadsheets/d/1QqKyyYR6Q21VydFLVH3TRQUabQu_ym0Zz7PgGX0-kHA/edit?usp=sharing"",""แผน!HL56"")"),0)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IFERROR(__xludf.DUMMYFUNCTION("IMPORTRANGE(""https://docs.google.com/spreadsheets/d/1QqKyyYR6Q21VydFLVH3TRQUabQu_ym0Zz7PgGX0-kHA/edit?usp=sharing"",""แผน!HK56"")"),0)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50</v>
      </c>
      <c r="J628" s="683">
        <f t="shared" ca="1" si="262"/>
        <v>37</v>
      </c>
      <c r="K628" s="684">
        <f ca="1">IF(I628&gt;0,J628*100/I628,0)</f>
        <v>74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171175</v>
      </c>
      <c r="M629" s="191">
        <f t="shared" ca="1" si="263"/>
        <v>171175</v>
      </c>
      <c r="N629" s="191">
        <f t="shared" si="263"/>
        <v>95442</v>
      </c>
      <c r="O629" s="191">
        <f t="shared" ref="O629:O634" ca="1" si="264">IF(L629&gt;0,N629*100/L629,0)</f>
        <v>55.756973857163722</v>
      </c>
      <c r="P629" s="191">
        <f t="shared" ref="P629:P634" ca="1" si="265">IF(M629&gt;0,N629*100/M629,0)</f>
        <v>55.756973857163722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171175</v>
      </c>
      <c r="M631" s="45">
        <f t="shared" ca="1" si="266"/>
        <v>171175</v>
      </c>
      <c r="N631" s="45">
        <f t="shared" si="266"/>
        <v>95442</v>
      </c>
      <c r="O631" s="45">
        <f t="shared" ca="1" si="264"/>
        <v>55.756973857163722</v>
      </c>
      <c r="P631" s="45">
        <f t="shared" ca="1" si="265"/>
        <v>55.756973857163722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171175</v>
      </c>
      <c r="M632" s="38">
        <f t="shared" ca="1" si="267"/>
        <v>171175</v>
      </c>
      <c r="N632" s="38">
        <f t="shared" si="267"/>
        <v>95442</v>
      </c>
      <c r="O632" s="38">
        <f t="shared" ca="1" si="264"/>
        <v>55.756973857163722</v>
      </c>
      <c r="P632" s="38">
        <f t="shared" ca="1" si="265"/>
        <v>55.756973857163722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IFERROR(__xludf.DUMMYFUNCTION("IMPORTRANGE(""https://docs.google.com/spreadsheets/d/1QqKyyYR6Q21VydFLVH3TRQUabQu_ym0Zz7PgGX0-kHA/edit?usp=sharing"",""แผน!HN56"")"),171175)</f>
        <v>171175</v>
      </c>
      <c r="M634" s="45">
        <f ca="1">L634</f>
        <v>171175</v>
      </c>
      <c r="N634" s="45">
        <f>N635+N636+N637+N638</f>
        <v>95442</v>
      </c>
      <c r="O634" s="45">
        <f t="shared" ca="1" si="264"/>
        <v>55.756973857163722</v>
      </c>
      <c r="P634" s="45">
        <f t="shared" ca="1" si="265"/>
        <v>55.756973857163722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f>65840+12312+8760+8530</f>
        <v>95442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IFERROR(__xludf.DUMMYFUNCTION("IMPORTRANGE(""https://docs.google.com/spreadsheets/d/1XWAQStnk-4SwqDmLtmXYiTMKHgktTP8We1SCoS47DrQ/edit?usp=sharing"",""จัดที่ดิน!AS56"")"),76)</f>
        <v>76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IFERROR(__xludf.DUMMYFUNCTION("IMPORTRANGE(""https://docs.google.com/spreadsheets/d/1XWAQStnk-4SwqDmLtmXYiTMKHgktTP8We1SCoS47DrQ/edit?usp=sharing"",""จัดที่ดิน!AT56"")"),41.77)</f>
        <v>41.77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IFERROR(__xludf.DUMMYFUNCTION("IMPORTRANGE(""https://docs.google.com/spreadsheets/d/1QqKyyYR6Q21VydFLVH3TRQUabQu_ym0Zz7PgGX0-kHA/edit?usp=sharing"",""แผน!HS56"")"),50)</f>
        <v>50</v>
      </c>
      <c r="J647" s="37">
        <f ca="1">IFERROR(__xludf.DUMMYFUNCTION("IMPORTRANGE(""https://docs.google.com/spreadsheets/d/1XWAQStnk-4SwqDmLtmXYiTMKHgktTP8We1SCoS47DrQ/edit?usp=sharing"",""จัดที่ดิน!AU56"")"),61)</f>
        <v>61</v>
      </c>
      <c r="K647" s="162">
        <f t="shared" ca="1" si="271"/>
        <v>122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IFERROR(__xludf.DUMMYFUNCTION("IMPORTRANGE(""https://docs.google.com/spreadsheets/d/1XWAQStnk-4SwqDmLtmXYiTMKHgktTP8We1SCoS47DrQ/edit?usp=sharing"",""จัดที่ดิน!AV56"")"),49.14)</f>
        <v>49.14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IFERROR(__xludf.DUMMYFUNCTION("IMPORTRANGE(""https://docs.google.com/spreadsheets/d/1QqKyyYR6Q21VydFLVH3TRQUabQu_ym0Zz7PgGX0-kHA/edit?usp=sharing"",""แผน!HS56"")"),50)</f>
        <v>50</v>
      </c>
      <c r="J649" s="37">
        <f ca="1">IFERROR(__xludf.DUMMYFUNCTION("IMPORTRANGE(""https://docs.google.com/spreadsheets/d/1XWAQStnk-4SwqDmLtmXYiTMKHgktTP8We1SCoS47DrQ/edit?usp=sharing"",""จัดที่ดิน!AW56"")"),43)</f>
        <v>43</v>
      </c>
      <c r="K649" s="162">
        <f t="shared" ca="1" si="271"/>
        <v>86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IFERROR(__xludf.DUMMYFUNCTION("IMPORTRANGE(""https://docs.google.com/spreadsheets/d/1XWAQStnk-4SwqDmLtmXYiTMKHgktTP8We1SCoS47DrQ/edit?usp=sharing"",""จัดที่ดิน!AX56"")"),32.58)</f>
        <v>32.58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IFERROR(__xludf.DUMMYFUNCTION("IMPORTRANGE(""https://docs.google.com/spreadsheets/d/1QqKyyYR6Q21VydFLVH3TRQUabQu_ym0Zz7PgGX0-kHA/edit?usp=sharing"",""แผน!HS56"")"),50)</f>
        <v>50</v>
      </c>
      <c r="J651" s="37">
        <f ca="1">IFERROR(__xludf.DUMMYFUNCTION("IMPORTRANGE(""https://docs.google.com/spreadsheets/d/1XWAQStnk-4SwqDmLtmXYiTMKHgktTP8We1SCoS47DrQ/edit?usp=sharing"",""จัดที่ดิน!AY56"")"),37)</f>
        <v>37</v>
      </c>
      <c r="K651" s="162">
        <f t="shared" ca="1" si="271"/>
        <v>74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IFERROR(__xludf.DUMMYFUNCTION("IMPORTRANGE(""https://docs.google.com/spreadsheets/d/1XWAQStnk-4SwqDmLtmXYiTMKHgktTP8We1SCoS47DrQ/edit?usp=sharing"",""จัดที่ดิน!AZ56"")"),30)</f>
        <v>30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 hidden="1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IFERROR(__xludf.DUMMYFUNCTION("IMPORTRANGE(""https://docs.google.com/spreadsheets/d/1QqKyyYR6Q21VydFLVH3TRQUabQu_ym0Zz7PgGX0-kHA/edit?usp=sharing"",""แผน!HV56"")"),0)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IFERROR(__xludf.DUMMYFUNCTION("IMPORTRANGE(""https://docs.google.com/spreadsheets/d/1QqKyyYR6Q21VydFLVH3TRQUabQu_ym0Zz7PgGX0-kHA/edit?usp=sharing"",""แผน!IA56"")"),0)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IFERROR(__xludf.DUMMYFUNCTION("IMPORTRANGE(""https://docs.google.com/spreadsheets/d/1QqKyyYR6Q21VydFLVH3TRQUabQu_ym0Zz7PgGX0-kHA/edit?usp=sharing"",""แผน!HZ56"")"),0)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IFERROR(__xludf.DUMMYFUNCTION("IMPORTRANGE(""https://docs.google.com/spreadsheets/d/1QqKyyYR6Q21VydFLVH3TRQUabQu_ym0Zz7PgGX0-kHA/edit?usp=sharing"",""แผน!HZ56"")"),0)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 hidden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 hidden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 hidden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IFERROR(__xludf.DUMMYFUNCTION("IMPORTRANGE(""https://docs.google.com/spreadsheets/d/1QqKyyYR6Q21VydFLVH3TRQUabQu_ym0Zz7PgGX0-kHA/edit?usp=sharing"",""แผน!HW56"")"),0)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 hidden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 hidden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 hidden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 hidden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 hidden="1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 hidden="1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 hidden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IFERROR(__xludf.DUMMYFUNCTION("IMPORTRANGE(""https://docs.google.com/spreadsheets/d/1QqKyyYR6Q21VydFLVH3TRQUabQu_ym0Zz7PgGX0-kHA/edit?usp=sharing"",""แผน!IC56"")"),0)</f>
        <v>0</v>
      </c>
      <c r="J699" s="37">
        <f ca="1">IFERROR(__xludf.DUMMYFUNCTION("IMPORTRANGE(""https://docs.google.com/spreadsheets/d/1XWAQStnk-4SwqDmLtmXYiTMKHgktTP8We1SCoS47DrQ/edit?usp=sharing"",""จัดที่ดิน!BB56"")"),0)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 hidden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IFERROR(__xludf.DUMMYFUNCTION("IMPORTRANGE(""https://docs.google.com/spreadsheets/d/1QqKyyYR6Q21VydFLVH3TRQUabQu_ym0Zz7PgGX0-kHA/edit?usp=sharing"",""แผน!ID56"")"),0)</f>
        <v>0</v>
      </c>
      <c r="J700" s="37">
        <f ca="1">IFERROR(__xludf.DUMMYFUNCTION("IMPORTRANGE(""https://docs.google.com/spreadsheets/d/1XWAQStnk-4SwqDmLtmXYiTMKHgktTP8We1SCoS47DrQ/edit?usp=sharing"",""จัดที่ดิน!BD56"")"),0)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 hidden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 hidden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 hidden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 hidden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IFERROR(__xludf.DUMMYFUNCTION("IMPORTRANGE(""https://docs.google.com/spreadsheets/d/1QqKyyYR6Q21VydFLVH3TRQUabQu_ym0Zz7PgGX0-kHA/edit?usp=sharing"",""แผน!IF56"")"),0)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 hidden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 hidden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 hidden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IFERROR(__xludf.DUMMYFUNCTION("IMPORTRANGE(""https://docs.google.com/spreadsheets/d/1QqKyyYR6Q21VydFLVH3TRQUabQu_ym0Zz7PgGX0-kHA/edit?usp=sharing"",""แผน!IG56"")"),0)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 hidden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 hidden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 hidden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 hidden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 hidden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 hidden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 hidden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 hidden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 hidden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 hidden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 hidden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IFERROR(__xludf.DUMMYFUNCTION("IMPORTRANGE(""https://docs.google.com/spreadsheets/d/1XWAQStnk-4SwqDmLtmXYiTMKHgktTP8We1SCoS47DrQ/edit?usp=sharing"",""จัดที่ดิน!BF56"")"),0)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 hidden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IFERROR(__xludf.DUMMYFUNCTION("IMPORTRANGE(""https://docs.google.com/spreadsheets/d/1XWAQStnk-4SwqDmLtmXYiTMKHgktTP8We1SCoS47DrQ/edit?usp=sharing"",""จัดที่ดิน!BG56"")"),0)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 hidden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IFERROR(__xludf.DUMMYFUNCTION("IMPORTRANGE(""https://docs.google.com/spreadsheets/d/1QqKyyYR6Q21VydFLVH3TRQUabQu_ym0Zz7PgGX0-kHA/edit?usp=sharing"",""แผน!II56"")"),0)</f>
        <v>0</v>
      </c>
      <c r="J720" s="37">
        <f ca="1">IFERROR(__xludf.DUMMYFUNCTION("IMPORTRANGE(""https://docs.google.com/spreadsheets/d/1XWAQStnk-4SwqDmLtmXYiTMKHgktTP8We1SCoS47DrQ/edit?usp=sharing"",""จัดที่ดิน!BH56"")"),0)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 hidden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IFERROR(__xludf.DUMMYFUNCTION("IMPORTRANGE(""https://docs.google.com/spreadsheets/d/1QqKyyYR6Q21VydFLVH3TRQUabQu_ym0Zz7PgGX0-kHA/edit?usp=sharing"",""แผน!IJ56"")"),0)</f>
        <v>0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 hidden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 hidden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IFERROR(__xludf.DUMMYFUNCTION("IMPORTRANGE(""https://docs.google.com/spreadsheets/d/1QqKyyYR6Q21VydFLVH3TRQUabQu_ym0Zz7PgGX0-kHA/edit?usp=sharing"",""แผน!IL56"")"),0)</f>
        <v>0</v>
      </c>
      <c r="J723" s="37">
        <f ca="1">IFERROR(__xludf.DUMMYFUNCTION("IMPORTRANGE(""https://docs.google.com/spreadsheets/d/1XWAQStnk-4SwqDmLtmXYiTMKHgktTP8We1SCoS47DrQ/edit?usp=sharing"",""จัดที่ดิน!BM56"")"),0)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 hidden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IFERROR(__xludf.DUMMYFUNCTION("IMPORTRANGE(""https://docs.google.com/spreadsheets/d/1XWAQStnk-4SwqDmLtmXYiTMKHgktTP8We1SCoS47DrQ/edit?usp=sharing"",""จัดที่ดิน!BN56"")"),0)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 hidden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IFERROR(__xludf.DUMMYFUNCTION("IMPORTRANGE(""https://docs.google.com/spreadsheets/d/1QqKyyYR6Q21VydFLVH3TRQUabQu_ym0Zz7PgGX0-kHA/edit?usp=sharing"",""แผน!IM56"")"),0)</f>
        <v>0</v>
      </c>
      <c r="J725" s="37">
        <f ca="1">IFERROR(__xludf.DUMMYFUNCTION("IMPORTRANGE(""https://docs.google.com/spreadsheets/d/1XWAQStnk-4SwqDmLtmXYiTMKHgktTP8We1SCoS47DrQ/edit?usp=sharing"",""จัดที่ดิน!BO56"")"),0)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 hidden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IFERROR(__xludf.DUMMYFUNCTION("IMPORTRANGE(""https://docs.google.com/spreadsheets/d/1QqKyyYR6Q21VydFLVH3TRQUabQu_ym0Zz7PgGX0-kHA/edit?usp=sharing"",""แผน!IN56"")"),0)</f>
        <v>0</v>
      </c>
      <c r="J726" s="37">
        <f ca="1">IFERROR(__xludf.DUMMYFUNCTION("IMPORTRANGE(""https://docs.google.com/spreadsheets/d/1XWAQStnk-4SwqDmLtmXYiTMKHgktTP8We1SCoS47DrQ/edit?usp=sharing"",""จัดที่ดิน!BR56"")"),0)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 hidden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IFERROR(__xludf.DUMMYFUNCTION("IMPORTRANGE(""https://docs.google.com/spreadsheets/d/1XWAQStnk-4SwqDmLtmXYiTMKHgktTP8We1SCoS47DrQ/edit?usp=sharing"",""จัดที่ดิน!BS56"")"),0)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 hidden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IFERROR(__xludf.DUMMYFUNCTION("IMPORTRANGE(""https://docs.google.com/spreadsheets/d/1QqKyyYR6Q21VydFLVH3TRQUabQu_ym0Zz7PgGX0-kHA/edit?usp=sharing"",""แผน!IO56"")"),0)</f>
        <v>0</v>
      </c>
      <c r="J728" s="37">
        <f ca="1">IFERROR(__xludf.DUMMYFUNCTION("IMPORTRANGE(""https://docs.google.com/spreadsheets/d/1XWAQStnk-4SwqDmLtmXYiTMKHgktTP8We1SCoS47DrQ/edit?usp=sharing"",""จัดที่ดิน!BT56"")"),0)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 hidden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 hidden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 hidden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 hidden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 hidden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 hidden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 hidden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IFERROR(__xludf.DUMMYFUNCTION("IMPORTRANGE(""https://docs.google.com/spreadsheets/d/1QqKyyYR6Q21VydFLVH3TRQUabQu_ym0Zz7PgGX0-kHA/edit?usp=sharing"",""แผน!JJ56"")"),0)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IFERROR(__xludf.DUMMYFUNCTION("IMPORTRANGE(""https://docs.google.com/spreadsheets/d/1QqKyyYR6Q21VydFLVH3TRQUabQu_ym0Zz7PgGX0-kHA/edit?usp=sharing"",""แผน!JN56"")"),0)</f>
        <v>0</v>
      </c>
      <c r="J800" s="161">
        <f ca="1">IFERROR(__xludf.DUMMYFUNCTION("IMPORTRANGE(""https://docs.google.com/spreadsheets/d/1MaWodYyGHDf7siQLGxnXhG4mBNTNIuy296niS2xXulU/edit?usp=sharing"",""RTK!H56"")"),0)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IFERROR(__xludf.DUMMYFUNCTION("IMPORTRANGE(""https://docs.google.com/spreadsheets/d/1MaWodYyGHDf7siQLGxnXhG4mBNTNIuy296niS2xXulU/edit?usp=sharing"",""RTK!I56"")"),0)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69"/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IFERROR(__xludf.DUMMYFUNCTION("IMPORTRANGE(""https://docs.google.com/spreadsheets/d/19vJNZY_5yjcGF2XGBMNZRCAIB0Kwfpjp8YEOfu-bneM/edit?usp=sharing"",""งานกองทุน!D56"")"),11570000)</f>
        <v>11570000</v>
      </c>
      <c r="J821" s="37">
        <f ca="1">IFERROR(__xludf.DUMMYFUNCTION("IMPORTRANGE(""https://docs.google.com/spreadsheets/d/19vJNZY_5yjcGF2XGBMNZRCAIB0Kwfpjp8YEOfu-bneM/edit?usp=sharing"",""งานกองทุน!F56"")"),8020000)</f>
        <v>8020000</v>
      </c>
      <c r="K821" s="38">
        <f t="shared" ref="K821:K828" ca="1" si="335">IF(I821&gt;0,J821*100/I821,0)</f>
        <v>69.317199654278312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IFERROR(__xludf.DUMMYFUNCTION("IMPORTRANGE(""https://docs.google.com/spreadsheets/d/19vJNZY_5yjcGF2XGBMNZRCAIB0Kwfpjp8YEOfu-bneM/edit?usp=sharing"",""งานกองทุน!C56"")"),237)</f>
        <v>237</v>
      </c>
      <c r="J822" s="37">
        <f ca="1">IFERROR(__xludf.DUMMYFUNCTION("IMPORTRANGE(""https://docs.google.com/spreadsheets/d/19vJNZY_5yjcGF2XGBMNZRCAIB0Kwfpjp8YEOfu-bneM/edit?usp=sharing"",""งานกองทุน!E56"")"),163)</f>
        <v>163</v>
      </c>
      <c r="K822" s="38">
        <f t="shared" ca="1" si="335"/>
        <v>68.776371308016877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IFERROR(__xludf.DUMMYFUNCTION("IMPORTRANGE(""https://docs.google.com/spreadsheets/d/19vJNZY_5yjcGF2XGBMNZRCAIB0Kwfpjp8YEOfu-bneM/edit?usp=sharing"",""งานกองทุน!I56"")"),0)</f>
        <v>0</v>
      </c>
      <c r="J823" s="37">
        <f ca="1">IFERROR(__xludf.DUMMYFUNCTION("IMPORTRANGE(""https://docs.google.com/spreadsheets/d/19vJNZY_5yjcGF2XGBMNZRCAIB0Kwfpjp8YEOfu-bneM/edit?usp=sharing"",""งานกองทุน!K56"")"),0)</f>
        <v>0</v>
      </c>
      <c r="K823" s="38">
        <f t="shared" ca="1" si="335"/>
        <v>0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IFERROR(__xludf.DUMMYFUNCTION("IMPORTRANGE(""https://docs.google.com/spreadsheets/d/19vJNZY_5yjcGF2XGBMNZRCAIB0Kwfpjp8YEOfu-bneM/edit?usp=sharing"",""งานกองทุน!H56"")"),0)</f>
        <v>0</v>
      </c>
      <c r="J824" s="37">
        <f ca="1">IFERROR(__xludf.DUMMYFUNCTION("IMPORTRANGE(""https://docs.google.com/spreadsheets/d/19vJNZY_5yjcGF2XGBMNZRCAIB0Kwfpjp8YEOfu-bneM/edit?usp=sharing"",""งานกองทุน!J56"")"),0)</f>
        <v>0</v>
      </c>
      <c r="K824" s="38">
        <f t="shared" ca="1" si="335"/>
        <v>0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IFERROR(__xludf.DUMMYFUNCTION("IMPORTRANGE(""https://docs.google.com/spreadsheets/d/19vJNZY_5yjcGF2XGBMNZRCAIB0Kwfpjp8YEOfu-bneM/edit?usp=sharing"",""งานกองทุน!N56"")"),0)</f>
        <v>0</v>
      </c>
      <c r="J825" s="37">
        <f ca="1">IFERROR(__xludf.DUMMYFUNCTION("IMPORTRANGE(""https://docs.google.com/spreadsheets/d/19vJNZY_5yjcGF2XGBMNZRCAIB0Kwfpjp8YEOfu-bneM/edit?usp=sharing"",""งานกองทุน!P56"")"),0)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IFERROR(__xludf.DUMMYFUNCTION("IMPORTRANGE(""https://docs.google.com/spreadsheets/d/19vJNZY_5yjcGF2XGBMNZRCAIB0Kwfpjp8YEOfu-bneM/edit?usp=sharing"",""งานกองทุน!M56"")"),0)</f>
        <v>0</v>
      </c>
      <c r="J826" s="37">
        <f ca="1">IFERROR(__xludf.DUMMYFUNCTION("IMPORTRANGE(""https://docs.google.com/spreadsheets/d/19vJNZY_5yjcGF2XGBMNZRCAIB0Kwfpjp8YEOfu-bneM/edit?usp=sharing"",""งานกองทุน!O56"")"),0)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IFERROR(__xludf.DUMMYFUNCTION("IMPORTRANGE(""https://docs.google.com/spreadsheets/d/19vJNZY_5yjcGF2XGBMNZRCAIB0Kwfpjp8YEOfu-bneM/edit?usp=sharing"",""งานกองทุน!S56"")"),10120000)</f>
        <v>10120000</v>
      </c>
      <c r="J827" s="37">
        <f ca="1">IFERROR(__xludf.DUMMYFUNCTION("IMPORTRANGE(""https://docs.google.com/spreadsheets/d/19vJNZY_5yjcGF2XGBMNZRCAIB0Kwfpjp8YEOfu-bneM/edit?usp=sharing"",""งานกองทุน!U56"")"),7730000)</f>
        <v>7730000</v>
      </c>
      <c r="K827" s="38">
        <f t="shared" ca="1" si="335"/>
        <v>76.383399209486171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IFERROR(__xludf.DUMMYFUNCTION("IMPORTRANGE(""https://docs.google.com/spreadsheets/d/19vJNZY_5yjcGF2XGBMNZRCAIB0Kwfpjp8YEOfu-bneM/edit?usp=sharing"",""งานกองทุน!R56"")"),249)</f>
        <v>249</v>
      </c>
      <c r="J828" s="365">
        <f ca="1">IFERROR(__xludf.DUMMYFUNCTION("IMPORTRANGE(""https://docs.google.com/spreadsheets/d/19vJNZY_5yjcGF2XGBMNZRCAIB0Kwfpjp8YEOfu-bneM/edit?usp=sharing"",""งานกองทุน!T56"")"),157)</f>
        <v>157</v>
      </c>
      <c r="K828" s="472">
        <f t="shared" ca="1" si="335"/>
        <v>63.052208835341368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  <row r="829" spans="1:26" ht="19">
      <c r="A829" s="631"/>
      <c r="B829" s="631"/>
      <c r="C829" s="631"/>
      <c r="D829" s="832"/>
      <c r="E829" s="631"/>
      <c r="F829" s="631"/>
      <c r="G829" s="631"/>
      <c r="H829" s="833"/>
      <c r="I829" s="834"/>
      <c r="J829" s="834"/>
      <c r="K829" s="835"/>
      <c r="L829" s="835"/>
      <c r="M829" s="835"/>
      <c r="N829" s="835"/>
      <c r="O829" s="835"/>
      <c r="P829" s="835"/>
      <c r="Q829" s="540"/>
      <c r="R829" s="540"/>
      <c r="S829" s="540"/>
      <c r="T829" s="540"/>
      <c r="U829" s="540"/>
      <c r="V829" s="540"/>
      <c r="W829" s="540"/>
      <c r="X829" s="540"/>
      <c r="Y829" s="540"/>
      <c r="Z829" s="540"/>
    </row>
    <row r="830" spans="1:26" ht="19">
      <c r="A830" s="631"/>
      <c r="B830" s="631"/>
      <c r="C830" s="631"/>
      <c r="D830" s="832"/>
      <c r="E830" s="631"/>
      <c r="F830" s="631"/>
      <c r="G830" s="631"/>
      <c r="H830" s="833"/>
      <c r="I830" s="834"/>
      <c r="J830" s="834"/>
      <c r="K830" s="835"/>
      <c r="L830" s="835"/>
      <c r="M830" s="835"/>
      <c r="N830" s="835"/>
      <c r="O830" s="835"/>
      <c r="P830" s="835"/>
      <c r="Q830" s="540"/>
      <c r="R830" s="540"/>
      <c r="S830" s="540"/>
      <c r="T830" s="540"/>
      <c r="U830" s="540"/>
      <c r="V830" s="540"/>
      <c r="W830" s="540"/>
      <c r="X830" s="540"/>
      <c r="Y830" s="540"/>
      <c r="Z830" s="540"/>
    </row>
    <row r="831" spans="1:26" ht="19">
      <c r="A831" s="631"/>
      <c r="B831" s="631"/>
      <c r="C831" s="631"/>
      <c r="D831" s="832"/>
      <c r="E831" s="631"/>
      <c r="F831" s="631"/>
      <c r="G831" s="631"/>
      <c r="H831" s="833"/>
      <c r="I831" s="834"/>
      <c r="J831" s="834"/>
      <c r="K831" s="835"/>
      <c r="L831" s="835"/>
      <c r="M831" s="835"/>
      <c r="N831" s="835"/>
      <c r="O831" s="835"/>
      <c r="P831" s="835"/>
      <c r="Q831" s="540"/>
      <c r="R831" s="540"/>
      <c r="S831" s="540"/>
      <c r="T831" s="540"/>
      <c r="U831" s="540"/>
      <c r="V831" s="540"/>
      <c r="W831" s="540"/>
      <c r="X831" s="540"/>
      <c r="Y831" s="540"/>
      <c r="Z831" s="540"/>
    </row>
    <row r="832" spans="1:26" ht="19">
      <c r="A832" s="631"/>
      <c r="B832" s="631"/>
      <c r="C832" s="631"/>
      <c r="D832" s="832"/>
      <c r="E832" s="631"/>
      <c r="F832" s="631"/>
      <c r="G832" s="631"/>
      <c r="H832" s="833"/>
      <c r="I832" s="834"/>
      <c r="J832" s="834"/>
      <c r="K832" s="835"/>
      <c r="L832" s="835"/>
      <c r="M832" s="835"/>
      <c r="N832" s="835"/>
      <c r="O832" s="835"/>
      <c r="P832" s="835"/>
      <c r="Q832" s="540"/>
      <c r="R832" s="540"/>
      <c r="S832" s="540"/>
      <c r="T832" s="540"/>
      <c r="U832" s="540"/>
      <c r="V832" s="540"/>
      <c r="W832" s="540"/>
      <c r="X832" s="540"/>
      <c r="Y832" s="540"/>
      <c r="Z832" s="540"/>
    </row>
    <row r="833" spans="1:26" ht="19">
      <c r="A833" s="631"/>
      <c r="B833" s="631"/>
      <c r="C833" s="631"/>
      <c r="D833" s="832"/>
      <c r="E833" s="631"/>
      <c r="F833" s="631"/>
      <c r="G833" s="631"/>
      <c r="H833" s="833"/>
      <c r="I833" s="834"/>
      <c r="J833" s="834"/>
      <c r="K833" s="835"/>
      <c r="L833" s="835"/>
      <c r="M833" s="835"/>
      <c r="N833" s="835"/>
      <c r="O833" s="835"/>
      <c r="P833" s="835"/>
      <c r="Q833" s="540"/>
      <c r="R833" s="540"/>
      <c r="S833" s="540"/>
      <c r="T833" s="540"/>
      <c r="U833" s="540"/>
      <c r="V833" s="540"/>
      <c r="W833" s="540"/>
      <c r="X833" s="540"/>
      <c r="Y833" s="540"/>
      <c r="Z833" s="540"/>
    </row>
    <row r="834" spans="1:26" ht="19">
      <c r="A834" s="631"/>
      <c r="B834" s="631"/>
      <c r="C834" s="631"/>
      <c r="D834" s="832"/>
      <c r="E834" s="631"/>
      <c r="F834" s="631"/>
      <c r="G834" s="631"/>
      <c r="H834" s="833"/>
      <c r="I834" s="834"/>
      <c r="J834" s="834"/>
      <c r="K834" s="835"/>
      <c r="L834" s="835"/>
      <c r="M834" s="835"/>
      <c r="N834" s="835"/>
      <c r="O834" s="835"/>
      <c r="P834" s="835"/>
      <c r="Q834" s="540"/>
      <c r="R834" s="540"/>
      <c r="S834" s="540"/>
      <c r="T834" s="540"/>
      <c r="U834" s="540"/>
      <c r="V834" s="540"/>
      <c r="W834" s="540"/>
      <c r="X834" s="540"/>
      <c r="Y834" s="540"/>
      <c r="Z834" s="540"/>
    </row>
    <row r="835" spans="1:26" ht="19">
      <c r="A835" s="631"/>
      <c r="B835" s="631"/>
      <c r="C835" s="631"/>
      <c r="D835" s="832"/>
      <c r="E835" s="631"/>
      <c r="F835" s="631"/>
      <c r="G835" s="631"/>
      <c r="H835" s="833"/>
      <c r="I835" s="834"/>
      <c r="J835" s="834"/>
      <c r="K835" s="835"/>
      <c r="L835" s="835"/>
      <c r="M835" s="835"/>
      <c r="N835" s="835"/>
      <c r="O835" s="835"/>
      <c r="P835" s="835"/>
      <c r="Q835" s="540"/>
      <c r="R835" s="540"/>
      <c r="S835" s="540"/>
      <c r="T835" s="540"/>
      <c r="U835" s="540"/>
      <c r="V835" s="540"/>
      <c r="W835" s="540"/>
      <c r="X835" s="540"/>
      <c r="Y835" s="540"/>
      <c r="Z835" s="540"/>
    </row>
    <row r="836" spans="1:26" ht="19">
      <c r="A836" s="631"/>
      <c r="B836" s="631"/>
      <c r="C836" s="631"/>
      <c r="D836" s="832"/>
      <c r="E836" s="631"/>
      <c r="F836" s="631"/>
      <c r="G836" s="631"/>
      <c r="H836" s="833"/>
      <c r="I836" s="834"/>
      <c r="J836" s="834"/>
      <c r="K836" s="835"/>
      <c r="L836" s="835"/>
      <c r="M836" s="835"/>
      <c r="N836" s="835"/>
      <c r="O836" s="835"/>
      <c r="P836" s="835"/>
      <c r="Q836" s="540"/>
      <c r="R836" s="540"/>
      <c r="S836" s="540"/>
      <c r="T836" s="540"/>
      <c r="U836" s="540"/>
      <c r="V836" s="540"/>
      <c r="W836" s="540"/>
      <c r="X836" s="540"/>
      <c r="Y836" s="540"/>
      <c r="Z836" s="540"/>
    </row>
    <row r="837" spans="1:26" ht="19">
      <c r="A837" s="631"/>
      <c r="B837" s="631"/>
      <c r="C837" s="631"/>
      <c r="D837" s="832"/>
      <c r="E837" s="631"/>
      <c r="F837" s="631"/>
      <c r="G837" s="631"/>
      <c r="H837" s="833"/>
      <c r="I837" s="834"/>
      <c r="J837" s="834"/>
      <c r="K837" s="835"/>
      <c r="L837" s="835"/>
      <c r="M837" s="835"/>
      <c r="N837" s="835"/>
      <c r="O837" s="835"/>
      <c r="P837" s="835"/>
      <c r="Q837" s="540"/>
      <c r="R837" s="540"/>
      <c r="S837" s="540"/>
      <c r="T837" s="540"/>
      <c r="U837" s="540"/>
      <c r="V837" s="540"/>
      <c r="W837" s="540"/>
      <c r="X837" s="540"/>
      <c r="Y837" s="540"/>
      <c r="Z837" s="540"/>
    </row>
    <row r="838" spans="1:26" ht="19">
      <c r="A838" s="631"/>
      <c r="B838" s="631"/>
      <c r="C838" s="631"/>
      <c r="D838" s="832"/>
      <c r="E838" s="631"/>
      <c r="F838" s="631"/>
      <c r="G838" s="631"/>
      <c r="H838" s="833"/>
      <c r="I838" s="834"/>
      <c r="J838" s="834"/>
      <c r="K838" s="835"/>
      <c r="L838" s="835"/>
      <c r="M838" s="835"/>
      <c r="N838" s="835"/>
      <c r="O838" s="835"/>
      <c r="P838" s="835"/>
      <c r="Q838" s="540"/>
      <c r="R838" s="540"/>
      <c r="S838" s="540"/>
      <c r="T838" s="540"/>
      <c r="U838" s="540"/>
      <c r="V838" s="540"/>
      <c r="W838" s="540"/>
      <c r="X838" s="540"/>
      <c r="Y838" s="540"/>
      <c r="Z838" s="540"/>
    </row>
    <row r="839" spans="1:26" ht="19">
      <c r="A839" s="631"/>
      <c r="B839" s="631"/>
      <c r="C839" s="631"/>
      <c r="D839" s="832"/>
      <c r="E839" s="631"/>
      <c r="F839" s="631"/>
      <c r="G839" s="631"/>
      <c r="H839" s="833"/>
      <c r="I839" s="834"/>
      <c r="J839" s="834"/>
      <c r="K839" s="835"/>
      <c r="L839" s="835"/>
      <c r="M839" s="835"/>
      <c r="N839" s="835"/>
      <c r="O839" s="835"/>
      <c r="P839" s="835"/>
      <c r="Q839" s="540"/>
      <c r="R839" s="540"/>
      <c r="S839" s="540"/>
      <c r="T839" s="540"/>
      <c r="U839" s="540"/>
      <c r="V839" s="540"/>
      <c r="W839" s="540"/>
      <c r="X839" s="540"/>
      <c r="Y839" s="540"/>
      <c r="Z839" s="540"/>
    </row>
    <row r="840" spans="1:26" ht="19">
      <c r="A840" s="631"/>
      <c r="B840" s="631"/>
      <c r="C840" s="631"/>
      <c r="D840" s="832"/>
      <c r="E840" s="631"/>
      <c r="F840" s="631"/>
      <c r="G840" s="631"/>
      <c r="H840" s="833"/>
      <c r="I840" s="834"/>
      <c r="J840" s="834"/>
      <c r="K840" s="835"/>
      <c r="L840" s="835"/>
      <c r="M840" s="835"/>
      <c r="N840" s="835"/>
      <c r="O840" s="835"/>
      <c r="P840" s="835"/>
      <c r="Q840" s="540"/>
      <c r="R840" s="540"/>
      <c r="S840" s="540"/>
      <c r="T840" s="540"/>
      <c r="U840" s="540"/>
      <c r="V840" s="540"/>
      <c r="W840" s="540"/>
      <c r="X840" s="540"/>
      <c r="Y840" s="540"/>
      <c r="Z840" s="540"/>
    </row>
    <row r="841" spans="1:26" ht="19">
      <c r="A841" s="631"/>
      <c r="B841" s="631"/>
      <c r="C841" s="631"/>
      <c r="D841" s="832"/>
      <c r="E841" s="631"/>
      <c r="F841" s="631"/>
      <c r="G841" s="631"/>
      <c r="H841" s="833"/>
      <c r="I841" s="834"/>
      <c r="J841" s="834"/>
      <c r="K841" s="835"/>
      <c r="L841" s="835"/>
      <c r="M841" s="835"/>
      <c r="N841" s="835"/>
      <c r="O841" s="835"/>
      <c r="P841" s="835"/>
      <c r="Q841" s="540"/>
      <c r="R841" s="540"/>
      <c r="S841" s="540"/>
      <c r="T841" s="540"/>
      <c r="U841" s="540"/>
      <c r="V841" s="540"/>
      <c r="W841" s="540"/>
      <c r="X841" s="540"/>
      <c r="Y841" s="540"/>
      <c r="Z841" s="540"/>
    </row>
    <row r="842" spans="1:26" ht="19">
      <c r="A842" s="631"/>
      <c r="B842" s="631"/>
      <c r="C842" s="631"/>
      <c r="D842" s="832"/>
      <c r="E842" s="631"/>
      <c r="F842" s="631"/>
      <c r="G842" s="631"/>
      <c r="H842" s="833"/>
      <c r="I842" s="834"/>
      <c r="J842" s="834"/>
      <c r="K842" s="835"/>
      <c r="L842" s="835"/>
      <c r="M842" s="835"/>
      <c r="N842" s="835"/>
      <c r="O842" s="835"/>
      <c r="P842" s="835"/>
      <c r="Q842" s="540"/>
      <c r="R842" s="540"/>
      <c r="S842" s="540"/>
      <c r="T842" s="540"/>
      <c r="U842" s="540"/>
      <c r="V842" s="540"/>
      <c r="W842" s="540"/>
      <c r="X842" s="540"/>
      <c r="Y842" s="540"/>
      <c r="Z842" s="540"/>
    </row>
    <row r="843" spans="1:26" ht="19">
      <c r="A843" s="631"/>
      <c r="B843" s="631"/>
      <c r="C843" s="631"/>
      <c r="D843" s="832"/>
      <c r="E843" s="631"/>
      <c r="F843" s="631"/>
      <c r="G843" s="631"/>
      <c r="H843" s="833"/>
      <c r="I843" s="834"/>
      <c r="J843" s="834"/>
      <c r="K843" s="835"/>
      <c r="L843" s="835"/>
      <c r="M843" s="835"/>
      <c r="N843" s="835"/>
      <c r="O843" s="835"/>
      <c r="P843" s="835"/>
      <c r="Q843" s="540"/>
      <c r="R843" s="540"/>
      <c r="S843" s="540"/>
      <c r="T843" s="540"/>
      <c r="U843" s="540"/>
      <c r="V843" s="540"/>
      <c r="W843" s="540"/>
      <c r="X843" s="540"/>
      <c r="Y843" s="540"/>
      <c r="Z843" s="540"/>
    </row>
    <row r="844" spans="1:26" ht="19">
      <c r="A844" s="631"/>
      <c r="B844" s="631"/>
      <c r="C844" s="631"/>
      <c r="D844" s="832"/>
      <c r="E844" s="631"/>
      <c r="F844" s="631"/>
      <c r="G844" s="631"/>
      <c r="H844" s="833"/>
      <c r="I844" s="834"/>
      <c r="J844" s="834"/>
      <c r="K844" s="835"/>
      <c r="L844" s="835"/>
      <c r="M844" s="835"/>
      <c r="N844" s="835"/>
      <c r="O844" s="835"/>
      <c r="P844" s="835"/>
      <c r="Q844" s="540"/>
      <c r="R844" s="540"/>
      <c r="S844" s="540"/>
      <c r="T844" s="540"/>
      <c r="U844" s="540"/>
      <c r="V844" s="540"/>
      <c r="W844" s="540"/>
      <c r="X844" s="540"/>
      <c r="Y844" s="540"/>
      <c r="Z844" s="540"/>
    </row>
    <row r="845" spans="1:26" ht="19">
      <c r="A845" s="631"/>
      <c r="B845" s="631"/>
      <c r="C845" s="631"/>
      <c r="D845" s="832"/>
      <c r="E845" s="631"/>
      <c r="F845" s="631"/>
      <c r="G845" s="631"/>
      <c r="H845" s="833"/>
      <c r="I845" s="834"/>
      <c r="J845" s="834"/>
      <c r="K845" s="835"/>
      <c r="L845" s="835"/>
      <c r="M845" s="835"/>
      <c r="N845" s="835"/>
      <c r="O845" s="835"/>
      <c r="P845" s="835"/>
      <c r="Q845" s="540"/>
      <c r="R845" s="540"/>
      <c r="S845" s="540"/>
      <c r="T845" s="540"/>
      <c r="U845" s="540"/>
      <c r="V845" s="540"/>
      <c r="W845" s="540"/>
      <c r="X845" s="540"/>
      <c r="Y845" s="540"/>
      <c r="Z845" s="540"/>
    </row>
    <row r="846" spans="1:26" ht="19">
      <c r="A846" s="631"/>
      <c r="B846" s="631"/>
      <c r="C846" s="631"/>
      <c r="D846" s="832"/>
      <c r="E846" s="631"/>
      <c r="F846" s="631"/>
      <c r="G846" s="631"/>
      <c r="H846" s="833"/>
      <c r="I846" s="834"/>
      <c r="J846" s="834"/>
      <c r="K846" s="835"/>
      <c r="L846" s="835"/>
      <c r="M846" s="835"/>
      <c r="N846" s="835"/>
      <c r="O846" s="835"/>
      <c r="P846" s="835"/>
      <c r="Q846" s="540"/>
      <c r="R846" s="540"/>
      <c r="S846" s="540"/>
      <c r="T846" s="540"/>
      <c r="U846" s="540"/>
      <c r="V846" s="540"/>
      <c r="W846" s="540"/>
      <c r="X846" s="540"/>
      <c r="Y846" s="540"/>
      <c r="Z846" s="540"/>
    </row>
    <row r="847" spans="1:26" ht="19">
      <c r="A847" s="631"/>
      <c r="B847" s="631"/>
      <c r="C847" s="631"/>
      <c r="D847" s="832"/>
      <c r="E847" s="631"/>
      <c r="F847" s="631"/>
      <c r="G847" s="631"/>
      <c r="H847" s="833"/>
      <c r="I847" s="834"/>
      <c r="J847" s="834"/>
      <c r="K847" s="835"/>
      <c r="L847" s="835"/>
      <c r="M847" s="835"/>
      <c r="N847" s="835"/>
      <c r="O847" s="835"/>
      <c r="P847" s="835"/>
      <c r="Q847" s="540"/>
      <c r="R847" s="540"/>
      <c r="S847" s="540"/>
      <c r="T847" s="540"/>
      <c r="U847" s="540"/>
      <c r="V847" s="540"/>
      <c r="W847" s="540"/>
      <c r="X847" s="540"/>
      <c r="Y847" s="540"/>
      <c r="Z847" s="540"/>
    </row>
    <row r="848" spans="1:26" ht="19">
      <c r="A848" s="631"/>
      <c r="B848" s="631"/>
      <c r="C848" s="631"/>
      <c r="D848" s="832"/>
      <c r="E848" s="631"/>
      <c r="F848" s="631"/>
      <c r="G848" s="631"/>
      <c r="H848" s="833"/>
      <c r="I848" s="834"/>
      <c r="J848" s="834"/>
      <c r="K848" s="835"/>
      <c r="L848" s="835"/>
      <c r="M848" s="835"/>
      <c r="N848" s="835"/>
      <c r="O848" s="835"/>
      <c r="P848" s="835"/>
      <c r="Q848" s="540"/>
      <c r="R848" s="540"/>
      <c r="S848" s="540"/>
      <c r="T848" s="540"/>
      <c r="U848" s="540"/>
      <c r="V848" s="540"/>
      <c r="W848" s="540"/>
      <c r="X848" s="540"/>
      <c r="Y848" s="540"/>
      <c r="Z848" s="540"/>
    </row>
    <row r="849" spans="1:26" ht="19">
      <c r="A849" s="631"/>
      <c r="B849" s="631"/>
      <c r="C849" s="631"/>
      <c r="D849" s="832"/>
      <c r="E849" s="631"/>
      <c r="F849" s="631"/>
      <c r="G849" s="631"/>
      <c r="H849" s="833"/>
      <c r="I849" s="834"/>
      <c r="J849" s="834"/>
      <c r="K849" s="835"/>
      <c r="L849" s="835"/>
      <c r="M849" s="835"/>
      <c r="N849" s="835"/>
      <c r="O849" s="835"/>
      <c r="P849" s="835"/>
      <c r="Q849" s="540"/>
      <c r="R849" s="540"/>
      <c r="S849" s="540"/>
      <c r="T849" s="540"/>
      <c r="U849" s="540"/>
      <c r="V849" s="540"/>
      <c r="W849" s="540"/>
      <c r="X849" s="540"/>
      <c r="Y849" s="540"/>
      <c r="Z849" s="540"/>
    </row>
    <row r="850" spans="1:26" ht="19">
      <c r="A850" s="631"/>
      <c r="B850" s="631"/>
      <c r="C850" s="631"/>
      <c r="D850" s="832"/>
      <c r="E850" s="631"/>
      <c r="F850" s="631"/>
      <c r="G850" s="631"/>
      <c r="H850" s="833"/>
      <c r="I850" s="834"/>
      <c r="J850" s="834"/>
      <c r="K850" s="835"/>
      <c r="L850" s="835"/>
      <c r="M850" s="835"/>
      <c r="N850" s="835"/>
      <c r="O850" s="835"/>
      <c r="P850" s="835"/>
      <c r="Q850" s="540"/>
      <c r="R850" s="540"/>
      <c r="S850" s="540"/>
      <c r="T850" s="540"/>
      <c r="U850" s="540"/>
      <c r="V850" s="540"/>
      <c r="W850" s="540"/>
      <c r="X850" s="540"/>
      <c r="Y850" s="540"/>
      <c r="Z850" s="540"/>
    </row>
    <row r="851" spans="1:26" ht="19">
      <c r="A851" s="631"/>
      <c r="B851" s="631"/>
      <c r="C851" s="631"/>
      <c r="D851" s="832"/>
      <c r="E851" s="631"/>
      <c r="F851" s="631"/>
      <c r="G851" s="631"/>
      <c r="H851" s="833"/>
      <c r="I851" s="834"/>
      <c r="J851" s="834"/>
      <c r="K851" s="835"/>
      <c r="L851" s="835"/>
      <c r="M851" s="835"/>
      <c r="N851" s="835"/>
      <c r="O851" s="835"/>
      <c r="P851" s="835"/>
      <c r="Q851" s="540"/>
      <c r="R851" s="540"/>
      <c r="S851" s="540"/>
      <c r="T851" s="540"/>
      <c r="U851" s="540"/>
      <c r="V851" s="540"/>
      <c r="W851" s="540"/>
      <c r="X851" s="540"/>
      <c r="Y851" s="540"/>
      <c r="Z851" s="540"/>
    </row>
    <row r="852" spans="1:26" ht="19">
      <c r="A852" s="631"/>
      <c r="B852" s="631"/>
      <c r="C852" s="631"/>
      <c r="D852" s="832"/>
      <c r="E852" s="631"/>
      <c r="F852" s="631"/>
      <c r="G852" s="631"/>
      <c r="H852" s="833"/>
      <c r="I852" s="834"/>
      <c r="J852" s="834"/>
      <c r="K852" s="835"/>
      <c r="L852" s="835"/>
      <c r="M852" s="835"/>
      <c r="N852" s="835"/>
      <c r="O852" s="835"/>
      <c r="P852" s="835"/>
      <c r="Q852" s="540"/>
      <c r="R852" s="540"/>
      <c r="S852" s="540"/>
      <c r="T852" s="540"/>
      <c r="U852" s="540"/>
      <c r="V852" s="540"/>
      <c r="W852" s="540"/>
      <c r="X852" s="540"/>
      <c r="Y852" s="540"/>
      <c r="Z852" s="540"/>
    </row>
    <row r="853" spans="1:26" ht="19">
      <c r="A853" s="631"/>
      <c r="B853" s="631"/>
      <c r="C853" s="631"/>
      <c r="D853" s="832"/>
      <c r="E853" s="631"/>
      <c r="F853" s="631"/>
      <c r="G853" s="631"/>
      <c r="H853" s="833"/>
      <c r="I853" s="834"/>
      <c r="J853" s="834"/>
      <c r="K853" s="835"/>
      <c r="L853" s="835"/>
      <c r="M853" s="835"/>
      <c r="N853" s="835"/>
      <c r="O853" s="835"/>
      <c r="P853" s="835"/>
      <c r="Q853" s="540"/>
      <c r="R853" s="540"/>
      <c r="S853" s="540"/>
      <c r="T853" s="540"/>
      <c r="U853" s="540"/>
      <c r="V853" s="540"/>
      <c r="W853" s="540"/>
      <c r="X853" s="540"/>
      <c r="Y853" s="540"/>
      <c r="Z853" s="540"/>
    </row>
    <row r="854" spans="1:26" ht="19">
      <c r="A854" s="631"/>
      <c r="B854" s="631"/>
      <c r="C854" s="631"/>
      <c r="D854" s="832"/>
      <c r="E854" s="631"/>
      <c r="F854" s="631"/>
      <c r="G854" s="631"/>
      <c r="H854" s="833"/>
      <c r="I854" s="834"/>
      <c r="J854" s="834"/>
      <c r="K854" s="835"/>
      <c r="L854" s="835"/>
      <c r="M854" s="835"/>
      <c r="N854" s="835"/>
      <c r="O854" s="835"/>
      <c r="P854" s="835"/>
      <c r="Q854" s="540"/>
      <c r="R854" s="540"/>
      <c r="S854" s="540"/>
      <c r="T854" s="540"/>
      <c r="U854" s="540"/>
      <c r="V854" s="540"/>
      <c r="W854" s="540"/>
      <c r="X854" s="540"/>
      <c r="Y854" s="540"/>
      <c r="Z854" s="540"/>
    </row>
    <row r="855" spans="1:26" ht="19">
      <c r="A855" s="631"/>
      <c r="B855" s="631"/>
      <c r="C855" s="631"/>
      <c r="D855" s="832"/>
      <c r="E855" s="631"/>
      <c r="F855" s="631"/>
      <c r="G855" s="631"/>
      <c r="H855" s="833"/>
      <c r="I855" s="834"/>
      <c r="J855" s="834"/>
      <c r="K855" s="835"/>
      <c r="L855" s="835"/>
      <c r="M855" s="835"/>
      <c r="N855" s="835"/>
      <c r="O855" s="835"/>
      <c r="P855" s="835"/>
      <c r="Q855" s="540"/>
      <c r="R855" s="540"/>
      <c r="S855" s="540"/>
      <c r="T855" s="540"/>
      <c r="U855" s="540"/>
      <c r="V855" s="540"/>
      <c r="W855" s="540"/>
      <c r="X855" s="540"/>
      <c r="Y855" s="540"/>
      <c r="Z855" s="540"/>
    </row>
    <row r="856" spans="1:26" ht="19">
      <c r="A856" s="631"/>
      <c r="B856" s="631"/>
      <c r="C856" s="631"/>
      <c r="D856" s="832"/>
      <c r="E856" s="631"/>
      <c r="F856" s="631"/>
      <c r="G856" s="631"/>
      <c r="H856" s="833"/>
      <c r="I856" s="834"/>
      <c r="J856" s="834"/>
      <c r="K856" s="835"/>
      <c r="L856" s="835"/>
      <c r="M856" s="835"/>
      <c r="N856" s="835"/>
      <c r="O856" s="835"/>
      <c r="P856" s="835"/>
      <c r="Q856" s="540"/>
      <c r="R856" s="540"/>
      <c r="S856" s="540"/>
      <c r="T856" s="540"/>
      <c r="U856" s="540"/>
      <c r="V856" s="540"/>
      <c r="W856" s="540"/>
      <c r="X856" s="540"/>
      <c r="Y856" s="540"/>
      <c r="Z856" s="540"/>
    </row>
    <row r="857" spans="1:26" ht="19">
      <c r="A857" s="631"/>
      <c r="B857" s="631"/>
      <c r="C857" s="631"/>
      <c r="D857" s="832"/>
      <c r="E857" s="631"/>
      <c r="F857" s="631"/>
      <c r="G857" s="631"/>
      <c r="H857" s="833"/>
      <c r="I857" s="834"/>
      <c r="J857" s="834"/>
      <c r="K857" s="835"/>
      <c r="L857" s="835"/>
      <c r="M857" s="835"/>
      <c r="N857" s="835"/>
      <c r="O857" s="835"/>
      <c r="P857" s="835"/>
      <c r="Q857" s="540"/>
      <c r="R857" s="540"/>
      <c r="S857" s="540"/>
      <c r="T857" s="540"/>
      <c r="U857" s="540"/>
      <c r="V857" s="540"/>
      <c r="W857" s="540"/>
      <c r="X857" s="540"/>
      <c r="Y857" s="540"/>
      <c r="Z857" s="540"/>
    </row>
    <row r="858" spans="1:26" ht="19">
      <c r="A858" s="631"/>
      <c r="B858" s="631"/>
      <c r="C858" s="631"/>
      <c r="D858" s="832"/>
      <c r="E858" s="631"/>
      <c r="F858" s="631"/>
      <c r="G858" s="631"/>
      <c r="H858" s="833"/>
      <c r="I858" s="834"/>
      <c r="J858" s="834"/>
      <c r="K858" s="835"/>
      <c r="L858" s="835"/>
      <c r="M858" s="835"/>
      <c r="N858" s="835"/>
      <c r="O858" s="835"/>
      <c r="P858" s="835"/>
      <c r="Q858" s="540"/>
      <c r="R858" s="540"/>
      <c r="S858" s="540"/>
      <c r="T858" s="540"/>
      <c r="U858" s="540"/>
      <c r="V858" s="540"/>
      <c r="W858" s="540"/>
      <c r="X858" s="540"/>
      <c r="Y858" s="540"/>
      <c r="Z858" s="540"/>
    </row>
    <row r="859" spans="1:26" ht="19">
      <c r="A859" s="631"/>
      <c r="B859" s="631"/>
      <c r="C859" s="631"/>
      <c r="D859" s="832"/>
      <c r="E859" s="631"/>
      <c r="F859" s="631"/>
      <c r="G859" s="631"/>
      <c r="H859" s="833"/>
      <c r="I859" s="834"/>
      <c r="J859" s="834"/>
      <c r="K859" s="835"/>
      <c r="L859" s="835"/>
      <c r="M859" s="835"/>
      <c r="N859" s="835"/>
      <c r="O859" s="835"/>
      <c r="P859" s="835"/>
      <c r="Q859" s="540"/>
      <c r="R859" s="540"/>
      <c r="S859" s="540"/>
      <c r="T859" s="540"/>
      <c r="U859" s="540"/>
      <c r="V859" s="540"/>
      <c r="W859" s="540"/>
      <c r="X859" s="540"/>
      <c r="Y859" s="540"/>
      <c r="Z859" s="540"/>
    </row>
    <row r="860" spans="1:26" ht="19">
      <c r="A860" s="631"/>
      <c r="B860" s="631"/>
      <c r="C860" s="631"/>
      <c r="D860" s="832"/>
      <c r="E860" s="631"/>
      <c r="F860" s="631"/>
      <c r="G860" s="631"/>
      <c r="H860" s="833"/>
      <c r="I860" s="834"/>
      <c r="J860" s="834"/>
      <c r="K860" s="835"/>
      <c r="L860" s="835"/>
      <c r="M860" s="835"/>
      <c r="N860" s="835"/>
      <c r="O860" s="835"/>
      <c r="P860" s="835"/>
      <c r="Q860" s="540"/>
      <c r="R860" s="540"/>
      <c r="S860" s="540"/>
      <c r="T860" s="540"/>
      <c r="U860" s="540"/>
      <c r="V860" s="540"/>
      <c r="W860" s="540"/>
      <c r="X860" s="540"/>
      <c r="Y860" s="540"/>
      <c r="Z860" s="540"/>
    </row>
    <row r="861" spans="1:26" ht="19">
      <c r="A861" s="631"/>
      <c r="B861" s="631"/>
      <c r="C861" s="631"/>
      <c r="D861" s="832"/>
      <c r="E861" s="631"/>
      <c r="F861" s="631"/>
      <c r="G861" s="631"/>
      <c r="H861" s="833"/>
      <c r="I861" s="834"/>
      <c r="J861" s="834"/>
      <c r="K861" s="835"/>
      <c r="L861" s="835"/>
      <c r="M861" s="835"/>
      <c r="N861" s="835"/>
      <c r="O861" s="835"/>
      <c r="P861" s="835"/>
      <c r="Q861" s="540"/>
      <c r="R861" s="540"/>
      <c r="S861" s="540"/>
      <c r="T861" s="540"/>
      <c r="U861" s="540"/>
      <c r="V861" s="540"/>
      <c r="W861" s="540"/>
      <c r="X861" s="540"/>
      <c r="Y861" s="540"/>
      <c r="Z861" s="540"/>
    </row>
    <row r="862" spans="1:26" ht="19">
      <c r="A862" s="631"/>
      <c r="B862" s="631"/>
      <c r="C862" s="631"/>
      <c r="D862" s="832"/>
      <c r="E862" s="631"/>
      <c r="F862" s="631"/>
      <c r="G862" s="631"/>
      <c r="H862" s="833"/>
      <c r="I862" s="834"/>
      <c r="J862" s="834"/>
      <c r="K862" s="835"/>
      <c r="L862" s="835"/>
      <c r="M862" s="835"/>
      <c r="N862" s="835"/>
      <c r="O862" s="835"/>
      <c r="P862" s="835"/>
      <c r="Q862" s="540"/>
      <c r="R862" s="540"/>
      <c r="S862" s="540"/>
      <c r="T862" s="540"/>
      <c r="U862" s="540"/>
      <c r="V862" s="540"/>
      <c r="W862" s="540"/>
      <c r="X862" s="540"/>
      <c r="Y862" s="540"/>
      <c r="Z862" s="540"/>
    </row>
    <row r="863" spans="1:26" ht="19">
      <c r="A863" s="631"/>
      <c r="B863" s="631"/>
      <c r="C863" s="631"/>
      <c r="D863" s="832"/>
      <c r="E863" s="631"/>
      <c r="F863" s="631"/>
      <c r="G863" s="631"/>
      <c r="H863" s="833"/>
      <c r="I863" s="834"/>
      <c r="J863" s="834"/>
      <c r="K863" s="835"/>
      <c r="L863" s="835"/>
      <c r="M863" s="835"/>
      <c r="N863" s="835"/>
      <c r="O863" s="835"/>
      <c r="P863" s="835"/>
      <c r="Q863" s="540"/>
      <c r="R863" s="540"/>
      <c r="S863" s="540"/>
      <c r="T863" s="540"/>
      <c r="U863" s="540"/>
      <c r="V863" s="540"/>
      <c r="W863" s="540"/>
      <c r="X863" s="540"/>
      <c r="Y863" s="540"/>
      <c r="Z863" s="540"/>
    </row>
    <row r="864" spans="1:26" ht="19">
      <c r="A864" s="631"/>
      <c r="B864" s="631"/>
      <c r="C864" s="631"/>
      <c r="D864" s="832"/>
      <c r="E864" s="631"/>
      <c r="F864" s="631"/>
      <c r="G864" s="631"/>
      <c r="H864" s="833"/>
      <c r="I864" s="834"/>
      <c r="J864" s="834"/>
      <c r="K864" s="835"/>
      <c r="L864" s="835"/>
      <c r="M864" s="835"/>
      <c r="N864" s="835"/>
      <c r="O864" s="835"/>
      <c r="P864" s="835"/>
      <c r="Q864" s="540"/>
      <c r="R864" s="540"/>
      <c r="S864" s="540"/>
      <c r="T864" s="540"/>
      <c r="U864" s="540"/>
      <c r="V864" s="540"/>
      <c r="W864" s="540"/>
      <c r="X864" s="540"/>
      <c r="Y864" s="540"/>
      <c r="Z864" s="540"/>
    </row>
    <row r="865" spans="1:26" ht="19">
      <c r="A865" s="631"/>
      <c r="B865" s="631"/>
      <c r="C865" s="631"/>
      <c r="D865" s="832"/>
      <c r="E865" s="631"/>
      <c r="F865" s="631"/>
      <c r="G865" s="631"/>
      <c r="H865" s="833"/>
      <c r="I865" s="834"/>
      <c r="J865" s="834"/>
      <c r="K865" s="835"/>
      <c r="L865" s="835"/>
      <c r="M865" s="835"/>
      <c r="N865" s="835"/>
      <c r="O865" s="835"/>
      <c r="P865" s="835"/>
      <c r="Q865" s="540"/>
      <c r="R865" s="540"/>
      <c r="S865" s="540"/>
      <c r="T865" s="540"/>
      <c r="U865" s="540"/>
      <c r="V865" s="540"/>
      <c r="W865" s="540"/>
      <c r="X865" s="540"/>
      <c r="Y865" s="540"/>
      <c r="Z865" s="540"/>
    </row>
    <row r="866" spans="1:26" ht="19">
      <c r="A866" s="631"/>
      <c r="B866" s="631"/>
      <c r="C866" s="631"/>
      <c r="D866" s="832"/>
      <c r="E866" s="631"/>
      <c r="F866" s="631"/>
      <c r="G866" s="631"/>
      <c r="H866" s="833"/>
      <c r="I866" s="834"/>
      <c r="J866" s="834"/>
      <c r="K866" s="835"/>
      <c r="L866" s="835"/>
      <c r="M866" s="835"/>
      <c r="N866" s="835"/>
      <c r="O866" s="835"/>
      <c r="P866" s="835"/>
      <c r="Q866" s="540"/>
      <c r="R866" s="540"/>
      <c r="S866" s="540"/>
      <c r="T866" s="540"/>
      <c r="U866" s="540"/>
      <c r="V866" s="540"/>
      <c r="W866" s="540"/>
      <c r="X866" s="540"/>
      <c r="Y866" s="540"/>
      <c r="Z866" s="540"/>
    </row>
    <row r="867" spans="1:26" ht="19">
      <c r="A867" s="631"/>
      <c r="B867" s="631"/>
      <c r="C867" s="631"/>
      <c r="D867" s="832"/>
      <c r="E867" s="631"/>
      <c r="F867" s="631"/>
      <c r="G867" s="631"/>
      <c r="H867" s="833"/>
      <c r="I867" s="834"/>
      <c r="J867" s="834"/>
      <c r="K867" s="835"/>
      <c r="L867" s="835"/>
      <c r="M867" s="835"/>
      <c r="N867" s="835"/>
      <c r="O867" s="835"/>
      <c r="P867" s="835"/>
      <c r="Q867" s="540"/>
      <c r="R867" s="540"/>
      <c r="S867" s="540"/>
      <c r="T867" s="540"/>
      <c r="U867" s="540"/>
      <c r="V867" s="540"/>
      <c r="W867" s="540"/>
      <c r="X867" s="540"/>
      <c r="Y867" s="540"/>
      <c r="Z867" s="540"/>
    </row>
    <row r="868" spans="1:26" ht="19">
      <c r="A868" s="631"/>
      <c r="B868" s="631"/>
      <c r="C868" s="631"/>
      <c r="D868" s="832"/>
      <c r="E868" s="631"/>
      <c r="F868" s="631"/>
      <c r="G868" s="631"/>
      <c r="H868" s="833"/>
      <c r="I868" s="834"/>
      <c r="J868" s="834"/>
      <c r="K868" s="835"/>
      <c r="L868" s="835"/>
      <c r="M868" s="835"/>
      <c r="N868" s="835"/>
      <c r="O868" s="835"/>
      <c r="P868" s="835"/>
      <c r="Q868" s="540"/>
      <c r="R868" s="540"/>
      <c r="S868" s="540"/>
      <c r="T868" s="540"/>
      <c r="U868" s="540"/>
      <c r="V868" s="540"/>
      <c r="W868" s="540"/>
      <c r="X868" s="540"/>
      <c r="Y868" s="540"/>
      <c r="Z868" s="540"/>
    </row>
    <row r="869" spans="1:26" ht="19">
      <c r="A869" s="631"/>
      <c r="B869" s="631"/>
      <c r="C869" s="631"/>
      <c r="D869" s="832"/>
      <c r="E869" s="631"/>
      <c r="F869" s="631"/>
      <c r="G869" s="631"/>
      <c r="H869" s="833"/>
      <c r="I869" s="834"/>
      <c r="J869" s="834"/>
      <c r="K869" s="835"/>
      <c r="L869" s="835"/>
      <c r="M869" s="835"/>
      <c r="N869" s="835"/>
      <c r="O869" s="835"/>
      <c r="P869" s="835"/>
      <c r="Q869" s="540"/>
      <c r="R869" s="540"/>
      <c r="S869" s="540"/>
      <c r="T869" s="540"/>
      <c r="U869" s="540"/>
      <c r="V869" s="540"/>
      <c r="W869" s="540"/>
      <c r="X869" s="540"/>
      <c r="Y869" s="540"/>
      <c r="Z869" s="540"/>
    </row>
    <row r="870" spans="1:26" ht="19">
      <c r="A870" s="631"/>
      <c r="B870" s="631"/>
      <c r="C870" s="631"/>
      <c r="D870" s="832"/>
      <c r="E870" s="631"/>
      <c r="F870" s="631"/>
      <c r="G870" s="631"/>
      <c r="H870" s="833"/>
      <c r="I870" s="834"/>
      <c r="J870" s="834"/>
      <c r="K870" s="835"/>
      <c r="L870" s="835"/>
      <c r="M870" s="835"/>
      <c r="N870" s="835"/>
      <c r="O870" s="835"/>
      <c r="P870" s="835"/>
      <c r="Q870" s="540"/>
      <c r="R870" s="540"/>
      <c r="S870" s="540"/>
      <c r="T870" s="540"/>
      <c r="U870" s="540"/>
      <c r="V870" s="540"/>
      <c r="W870" s="540"/>
      <c r="X870" s="540"/>
      <c r="Y870" s="540"/>
      <c r="Z870" s="540"/>
    </row>
    <row r="871" spans="1:26" ht="19">
      <c r="A871" s="631"/>
      <c r="B871" s="631"/>
      <c r="C871" s="631"/>
      <c r="D871" s="832"/>
      <c r="E871" s="631"/>
      <c r="F871" s="631"/>
      <c r="G871" s="631"/>
      <c r="H871" s="833"/>
      <c r="I871" s="834"/>
      <c r="J871" s="834"/>
      <c r="K871" s="835"/>
      <c r="L871" s="835"/>
      <c r="M871" s="835"/>
      <c r="N871" s="835"/>
      <c r="O871" s="835"/>
      <c r="P871" s="835"/>
      <c r="Q871" s="540"/>
      <c r="R871" s="540"/>
      <c r="S871" s="540"/>
      <c r="T871" s="540"/>
      <c r="U871" s="540"/>
      <c r="V871" s="540"/>
      <c r="W871" s="540"/>
      <c r="X871" s="540"/>
      <c r="Y871" s="540"/>
      <c r="Z871" s="540"/>
    </row>
    <row r="872" spans="1:26" ht="19">
      <c r="A872" s="631"/>
      <c r="B872" s="631"/>
      <c r="C872" s="631"/>
      <c r="D872" s="832"/>
      <c r="E872" s="631"/>
      <c r="F872" s="631"/>
      <c r="G872" s="631"/>
      <c r="H872" s="833"/>
      <c r="I872" s="834"/>
      <c r="J872" s="834"/>
      <c r="K872" s="835"/>
      <c r="L872" s="835"/>
      <c r="M872" s="835"/>
      <c r="N872" s="835"/>
      <c r="O872" s="835"/>
      <c r="P872" s="835"/>
      <c r="Q872" s="540"/>
      <c r="R872" s="540"/>
      <c r="S872" s="540"/>
      <c r="T872" s="540"/>
      <c r="U872" s="540"/>
      <c r="V872" s="540"/>
      <c r="W872" s="540"/>
      <c r="X872" s="540"/>
      <c r="Y872" s="540"/>
      <c r="Z872" s="540"/>
    </row>
    <row r="873" spans="1:26" ht="19">
      <c r="A873" s="631"/>
      <c r="B873" s="631"/>
      <c r="C873" s="631"/>
      <c r="D873" s="832"/>
      <c r="E873" s="631"/>
      <c r="F873" s="631"/>
      <c r="G873" s="631"/>
      <c r="H873" s="833"/>
      <c r="I873" s="834"/>
      <c r="J873" s="834"/>
      <c r="K873" s="835"/>
      <c r="L873" s="835"/>
      <c r="M873" s="835"/>
      <c r="N873" s="835"/>
      <c r="O873" s="835"/>
      <c r="P873" s="835"/>
      <c r="Q873" s="540"/>
      <c r="R873" s="540"/>
      <c r="S873" s="540"/>
      <c r="T873" s="540"/>
      <c r="U873" s="540"/>
      <c r="V873" s="540"/>
      <c r="W873" s="540"/>
      <c r="X873" s="540"/>
      <c r="Y873" s="540"/>
      <c r="Z873" s="540"/>
    </row>
    <row r="874" spans="1:26" ht="19">
      <c r="A874" s="631"/>
      <c r="B874" s="631"/>
      <c r="C874" s="631"/>
      <c r="D874" s="832"/>
      <c r="E874" s="631"/>
      <c r="F874" s="631"/>
      <c r="G874" s="631"/>
      <c r="H874" s="833"/>
      <c r="I874" s="834"/>
      <c r="J874" s="834"/>
      <c r="K874" s="835"/>
      <c r="L874" s="835"/>
      <c r="M874" s="835"/>
      <c r="N874" s="835"/>
      <c r="O874" s="835"/>
      <c r="P874" s="835"/>
      <c r="Q874" s="540"/>
      <c r="R874" s="540"/>
      <c r="S874" s="540"/>
      <c r="T874" s="540"/>
      <c r="U874" s="540"/>
      <c r="V874" s="540"/>
      <c r="W874" s="540"/>
      <c r="X874" s="540"/>
      <c r="Y874" s="540"/>
      <c r="Z874" s="540"/>
    </row>
    <row r="875" spans="1:26" ht="19">
      <c r="A875" s="631"/>
      <c r="B875" s="631"/>
      <c r="C875" s="631"/>
      <c r="D875" s="832"/>
      <c r="E875" s="631"/>
      <c r="F875" s="631"/>
      <c r="G875" s="631"/>
      <c r="H875" s="833"/>
      <c r="I875" s="834"/>
      <c r="J875" s="834"/>
      <c r="K875" s="835"/>
      <c r="L875" s="835"/>
      <c r="M875" s="835"/>
      <c r="N875" s="835"/>
      <c r="O875" s="835"/>
      <c r="P875" s="835"/>
      <c r="Q875" s="540"/>
      <c r="R875" s="540"/>
      <c r="S875" s="540"/>
      <c r="T875" s="540"/>
      <c r="U875" s="540"/>
      <c r="V875" s="540"/>
      <c r="W875" s="540"/>
      <c r="X875" s="540"/>
      <c r="Y875" s="540"/>
      <c r="Z875" s="540"/>
    </row>
    <row r="876" spans="1:26" ht="19">
      <c r="A876" s="631"/>
      <c r="B876" s="631"/>
      <c r="C876" s="631"/>
      <c r="D876" s="832"/>
      <c r="E876" s="631"/>
      <c r="F876" s="631"/>
      <c r="G876" s="631"/>
      <c r="H876" s="833"/>
      <c r="I876" s="834"/>
      <c r="J876" s="834"/>
      <c r="K876" s="835"/>
      <c r="L876" s="835"/>
      <c r="M876" s="835"/>
      <c r="N876" s="835"/>
      <c r="O876" s="835"/>
      <c r="P876" s="835"/>
      <c r="Q876" s="540"/>
      <c r="R876" s="540"/>
      <c r="S876" s="540"/>
      <c r="T876" s="540"/>
      <c r="U876" s="540"/>
      <c r="V876" s="540"/>
      <c r="W876" s="540"/>
      <c r="X876" s="540"/>
      <c r="Y876" s="540"/>
      <c r="Z876" s="540"/>
    </row>
    <row r="877" spans="1:26" ht="19">
      <c r="A877" s="631"/>
      <c r="B877" s="631"/>
      <c r="C877" s="631"/>
      <c r="D877" s="832"/>
      <c r="E877" s="631"/>
      <c r="F877" s="631"/>
      <c r="G877" s="631"/>
      <c r="H877" s="833"/>
      <c r="I877" s="834"/>
      <c r="J877" s="834"/>
      <c r="K877" s="835"/>
      <c r="L877" s="835"/>
      <c r="M877" s="835"/>
      <c r="N877" s="835"/>
      <c r="O877" s="835"/>
      <c r="P877" s="835"/>
      <c r="Q877" s="540"/>
      <c r="R877" s="540"/>
      <c r="S877" s="540"/>
      <c r="T877" s="540"/>
      <c r="U877" s="540"/>
      <c r="V877" s="540"/>
      <c r="W877" s="540"/>
      <c r="X877" s="540"/>
      <c r="Y877" s="540"/>
      <c r="Z877" s="540"/>
    </row>
    <row r="878" spans="1:26" ht="19">
      <c r="A878" s="631"/>
      <c r="B878" s="631"/>
      <c r="C878" s="631"/>
      <c r="D878" s="832"/>
      <c r="E878" s="631"/>
      <c r="F878" s="631"/>
      <c r="G878" s="631"/>
      <c r="H878" s="833"/>
      <c r="I878" s="834"/>
      <c r="J878" s="834"/>
      <c r="K878" s="835"/>
      <c r="L878" s="835"/>
      <c r="M878" s="835"/>
      <c r="N878" s="835"/>
      <c r="O878" s="835"/>
      <c r="P878" s="835"/>
      <c r="Q878" s="540"/>
      <c r="R878" s="540"/>
      <c r="S878" s="540"/>
      <c r="T878" s="540"/>
      <c r="U878" s="540"/>
      <c r="V878" s="540"/>
      <c r="W878" s="540"/>
      <c r="X878" s="540"/>
      <c r="Y878" s="540"/>
      <c r="Z878" s="540"/>
    </row>
    <row r="879" spans="1:26" ht="19">
      <c r="A879" s="631"/>
      <c r="B879" s="631"/>
      <c r="C879" s="631"/>
      <c r="D879" s="832"/>
      <c r="E879" s="631"/>
      <c r="F879" s="631"/>
      <c r="G879" s="631"/>
      <c r="H879" s="833"/>
      <c r="I879" s="834"/>
      <c r="J879" s="834"/>
      <c r="K879" s="835"/>
      <c r="L879" s="835"/>
      <c r="M879" s="835"/>
      <c r="N879" s="835"/>
      <c r="O879" s="835"/>
      <c r="P879" s="835"/>
      <c r="Q879" s="540"/>
      <c r="R879" s="540"/>
      <c r="S879" s="540"/>
      <c r="T879" s="540"/>
      <c r="U879" s="540"/>
      <c r="V879" s="540"/>
      <c r="W879" s="540"/>
      <c r="X879" s="540"/>
      <c r="Y879" s="540"/>
      <c r="Z879" s="540"/>
    </row>
    <row r="880" spans="1:26" ht="19">
      <c r="A880" s="631"/>
      <c r="B880" s="631"/>
      <c r="C880" s="631"/>
      <c r="D880" s="832"/>
      <c r="E880" s="631"/>
      <c r="F880" s="631"/>
      <c r="G880" s="631"/>
      <c r="H880" s="833"/>
      <c r="I880" s="834"/>
      <c r="J880" s="834"/>
      <c r="K880" s="835"/>
      <c r="L880" s="835"/>
      <c r="M880" s="835"/>
      <c r="N880" s="835"/>
      <c r="O880" s="835"/>
      <c r="P880" s="835"/>
      <c r="Q880" s="540"/>
      <c r="R880" s="540"/>
      <c r="S880" s="540"/>
      <c r="T880" s="540"/>
      <c r="U880" s="540"/>
      <c r="V880" s="540"/>
      <c r="W880" s="540"/>
      <c r="X880" s="540"/>
      <c r="Y880" s="540"/>
      <c r="Z880" s="540"/>
    </row>
    <row r="881" spans="1:26" ht="19">
      <c r="A881" s="631"/>
      <c r="B881" s="631"/>
      <c r="C881" s="631"/>
      <c r="D881" s="832"/>
      <c r="E881" s="631"/>
      <c r="F881" s="631"/>
      <c r="G881" s="631"/>
      <c r="H881" s="833"/>
      <c r="I881" s="834"/>
      <c r="J881" s="834"/>
      <c r="K881" s="835"/>
      <c r="L881" s="835"/>
      <c r="M881" s="835"/>
      <c r="N881" s="835"/>
      <c r="O881" s="835"/>
      <c r="P881" s="835"/>
      <c r="Q881" s="540"/>
      <c r="R881" s="540"/>
      <c r="S881" s="540"/>
      <c r="T881" s="540"/>
      <c r="U881" s="540"/>
      <c r="V881" s="540"/>
      <c r="W881" s="540"/>
      <c r="X881" s="540"/>
      <c r="Y881" s="540"/>
      <c r="Z881" s="540"/>
    </row>
    <row r="882" spans="1:26" ht="19">
      <c r="A882" s="631"/>
      <c r="B882" s="631"/>
      <c r="C882" s="631"/>
      <c r="D882" s="832"/>
      <c r="E882" s="631"/>
      <c r="F882" s="631"/>
      <c r="G882" s="631"/>
      <c r="H882" s="833"/>
      <c r="I882" s="834"/>
      <c r="J882" s="834"/>
      <c r="K882" s="835"/>
      <c r="L882" s="835"/>
      <c r="M882" s="835"/>
      <c r="N882" s="835"/>
      <c r="O882" s="835"/>
      <c r="P882" s="835"/>
      <c r="Q882" s="540"/>
      <c r="R882" s="540"/>
      <c r="S882" s="540"/>
      <c r="T882" s="540"/>
      <c r="U882" s="540"/>
      <c r="V882" s="540"/>
      <c r="W882" s="540"/>
      <c r="X882" s="540"/>
      <c r="Y882" s="540"/>
      <c r="Z882" s="540"/>
    </row>
    <row r="883" spans="1:26" ht="19">
      <c r="A883" s="631"/>
      <c r="B883" s="631"/>
      <c r="C883" s="631"/>
      <c r="D883" s="832"/>
      <c r="E883" s="631"/>
      <c r="F883" s="631"/>
      <c r="G883" s="631"/>
      <c r="H883" s="833"/>
      <c r="I883" s="834"/>
      <c r="J883" s="834"/>
      <c r="K883" s="835"/>
      <c r="L883" s="835"/>
      <c r="M883" s="835"/>
      <c r="N883" s="835"/>
      <c r="O883" s="835"/>
      <c r="P883" s="835"/>
      <c r="Q883" s="540"/>
      <c r="R883" s="540"/>
      <c r="S883" s="540"/>
      <c r="T883" s="540"/>
      <c r="U883" s="540"/>
      <c r="V883" s="540"/>
      <c r="W883" s="540"/>
      <c r="X883" s="540"/>
      <c r="Y883" s="540"/>
      <c r="Z883" s="540"/>
    </row>
    <row r="884" spans="1:26" ht="19">
      <c r="A884" s="631"/>
      <c r="B884" s="631"/>
      <c r="C884" s="631"/>
      <c r="D884" s="832"/>
      <c r="E884" s="631"/>
      <c r="F884" s="631"/>
      <c r="G884" s="631"/>
      <c r="H884" s="833"/>
      <c r="I884" s="834"/>
      <c r="J884" s="834"/>
      <c r="K884" s="835"/>
      <c r="L884" s="835"/>
      <c r="M884" s="835"/>
      <c r="N884" s="835"/>
      <c r="O884" s="835"/>
      <c r="P884" s="835"/>
      <c r="Q884" s="540"/>
      <c r="R884" s="540"/>
      <c r="S884" s="540"/>
      <c r="T884" s="540"/>
      <c r="U884" s="540"/>
      <c r="V884" s="540"/>
      <c r="W884" s="540"/>
      <c r="X884" s="540"/>
      <c r="Y884" s="540"/>
      <c r="Z884" s="540"/>
    </row>
    <row r="885" spans="1:26" ht="19">
      <c r="A885" s="631"/>
      <c r="B885" s="631"/>
      <c r="C885" s="631"/>
      <c r="D885" s="832"/>
      <c r="E885" s="631"/>
      <c r="F885" s="631"/>
      <c r="G885" s="631"/>
      <c r="H885" s="833"/>
      <c r="I885" s="834"/>
      <c r="J885" s="834"/>
      <c r="K885" s="835"/>
      <c r="L885" s="835"/>
      <c r="M885" s="835"/>
      <c r="N885" s="835"/>
      <c r="O885" s="835"/>
      <c r="P885" s="835"/>
      <c r="Q885" s="540"/>
      <c r="R885" s="540"/>
      <c r="S885" s="540"/>
      <c r="T885" s="540"/>
      <c r="U885" s="540"/>
      <c r="V885" s="540"/>
      <c r="W885" s="540"/>
      <c r="X885" s="540"/>
      <c r="Y885" s="540"/>
      <c r="Z885" s="540"/>
    </row>
    <row r="886" spans="1:26" ht="19">
      <c r="A886" s="631"/>
      <c r="B886" s="631"/>
      <c r="C886" s="631"/>
      <c r="D886" s="832"/>
      <c r="E886" s="631"/>
      <c r="F886" s="631"/>
      <c r="G886" s="631"/>
      <c r="H886" s="833"/>
      <c r="I886" s="834"/>
      <c r="J886" s="834"/>
      <c r="K886" s="835"/>
      <c r="L886" s="835"/>
      <c r="M886" s="835"/>
      <c r="N886" s="835"/>
      <c r="O886" s="835"/>
      <c r="P886" s="835"/>
      <c r="Q886" s="540"/>
      <c r="R886" s="540"/>
      <c r="S886" s="540"/>
      <c r="T886" s="540"/>
      <c r="U886" s="540"/>
      <c r="V886" s="540"/>
      <c r="W886" s="540"/>
      <c r="X886" s="540"/>
      <c r="Y886" s="540"/>
      <c r="Z886" s="540"/>
    </row>
    <row r="887" spans="1:26" ht="19">
      <c r="A887" s="631"/>
      <c r="B887" s="631"/>
      <c r="C887" s="631"/>
      <c r="D887" s="832"/>
      <c r="E887" s="631"/>
      <c r="F887" s="631"/>
      <c r="G887" s="631"/>
      <c r="H887" s="833"/>
      <c r="I887" s="834"/>
      <c r="J887" s="834"/>
      <c r="K887" s="835"/>
      <c r="L887" s="835"/>
      <c r="M887" s="835"/>
      <c r="N887" s="835"/>
      <c r="O887" s="835"/>
      <c r="P887" s="835"/>
      <c r="Q887" s="540"/>
      <c r="R887" s="540"/>
      <c r="S887" s="540"/>
      <c r="T887" s="540"/>
      <c r="U887" s="540"/>
      <c r="V887" s="540"/>
      <c r="W887" s="540"/>
      <c r="X887" s="540"/>
      <c r="Y887" s="540"/>
      <c r="Z887" s="540"/>
    </row>
    <row r="888" spans="1:26" ht="19">
      <c r="A888" s="631"/>
      <c r="B888" s="631"/>
      <c r="C888" s="631"/>
      <c r="D888" s="832"/>
      <c r="E888" s="631"/>
      <c r="F888" s="631"/>
      <c r="G888" s="631"/>
      <c r="H888" s="833"/>
      <c r="I888" s="834"/>
      <c r="J888" s="834"/>
      <c r="K888" s="835"/>
      <c r="L888" s="835"/>
      <c r="M888" s="835"/>
      <c r="N888" s="835"/>
      <c r="O888" s="835"/>
      <c r="P888" s="835"/>
      <c r="Q888" s="540"/>
      <c r="R888" s="540"/>
      <c r="S888" s="540"/>
      <c r="T888" s="540"/>
      <c r="U888" s="540"/>
      <c r="V888" s="540"/>
      <c r="W888" s="540"/>
      <c r="X888" s="540"/>
      <c r="Y888" s="540"/>
      <c r="Z888" s="540"/>
    </row>
    <row r="889" spans="1:26" ht="19">
      <c r="A889" s="631"/>
      <c r="B889" s="631"/>
      <c r="C889" s="631"/>
      <c r="D889" s="832"/>
      <c r="E889" s="631"/>
      <c r="F889" s="631"/>
      <c r="G889" s="631"/>
      <c r="H889" s="833"/>
      <c r="I889" s="834"/>
      <c r="J889" s="834"/>
      <c r="K889" s="835"/>
      <c r="L889" s="835"/>
      <c r="M889" s="835"/>
      <c r="N889" s="835"/>
      <c r="O889" s="835"/>
      <c r="P889" s="835"/>
      <c r="Q889" s="540"/>
      <c r="R889" s="540"/>
      <c r="S889" s="540"/>
      <c r="T889" s="540"/>
      <c r="U889" s="540"/>
      <c r="V889" s="540"/>
      <c r="W889" s="540"/>
      <c r="X889" s="540"/>
      <c r="Y889" s="540"/>
      <c r="Z889" s="540"/>
    </row>
    <row r="890" spans="1:26" ht="19">
      <c r="A890" s="631"/>
      <c r="B890" s="631"/>
      <c r="C890" s="631"/>
      <c r="D890" s="832"/>
      <c r="E890" s="631"/>
      <c r="F890" s="631"/>
      <c r="G890" s="631"/>
      <c r="H890" s="833"/>
      <c r="I890" s="834"/>
      <c r="J890" s="834"/>
      <c r="K890" s="835"/>
      <c r="L890" s="835"/>
      <c r="M890" s="835"/>
      <c r="N890" s="835"/>
      <c r="O890" s="835"/>
      <c r="P890" s="835"/>
      <c r="Q890" s="540"/>
      <c r="R890" s="540"/>
      <c r="S890" s="540"/>
      <c r="T890" s="540"/>
      <c r="U890" s="540"/>
      <c r="V890" s="540"/>
      <c r="W890" s="540"/>
      <c r="X890" s="540"/>
      <c r="Y890" s="540"/>
      <c r="Z890" s="540"/>
    </row>
    <row r="891" spans="1:26" ht="19">
      <c r="A891" s="631"/>
      <c r="B891" s="631"/>
      <c r="C891" s="631"/>
      <c r="D891" s="832"/>
      <c r="E891" s="631"/>
      <c r="F891" s="631"/>
      <c r="G891" s="631"/>
      <c r="H891" s="833"/>
      <c r="I891" s="834"/>
      <c r="J891" s="834"/>
      <c r="K891" s="835"/>
      <c r="L891" s="835"/>
      <c r="M891" s="835"/>
      <c r="N891" s="835"/>
      <c r="O891" s="835"/>
      <c r="P891" s="835"/>
      <c r="Q891" s="540"/>
      <c r="R891" s="540"/>
      <c r="S891" s="540"/>
      <c r="T891" s="540"/>
      <c r="U891" s="540"/>
      <c r="V891" s="540"/>
      <c r="W891" s="540"/>
      <c r="X891" s="540"/>
      <c r="Y891" s="540"/>
      <c r="Z891" s="540"/>
    </row>
    <row r="892" spans="1:26" ht="19">
      <c r="A892" s="631"/>
      <c r="B892" s="631"/>
      <c r="C892" s="631"/>
      <c r="D892" s="832"/>
      <c r="E892" s="631"/>
      <c r="F892" s="631"/>
      <c r="G892" s="631"/>
      <c r="H892" s="833"/>
      <c r="I892" s="834"/>
      <c r="J892" s="834"/>
      <c r="K892" s="835"/>
      <c r="L892" s="835"/>
      <c r="M892" s="835"/>
      <c r="N892" s="835"/>
      <c r="O892" s="835"/>
      <c r="P892" s="835"/>
      <c r="Q892" s="540"/>
      <c r="R892" s="540"/>
      <c r="S892" s="540"/>
      <c r="T892" s="540"/>
      <c r="U892" s="540"/>
      <c r="V892" s="540"/>
      <c r="W892" s="540"/>
      <c r="X892" s="540"/>
      <c r="Y892" s="540"/>
      <c r="Z892" s="540"/>
    </row>
    <row r="893" spans="1:26" ht="19">
      <c r="A893" s="631"/>
      <c r="B893" s="631"/>
      <c r="C893" s="631"/>
      <c r="D893" s="832"/>
      <c r="E893" s="631"/>
      <c r="F893" s="631"/>
      <c r="G893" s="631"/>
      <c r="H893" s="833"/>
      <c r="I893" s="834"/>
      <c r="J893" s="834"/>
      <c r="K893" s="835"/>
      <c r="L893" s="835"/>
      <c r="M893" s="835"/>
      <c r="N893" s="835"/>
      <c r="O893" s="835"/>
      <c r="P893" s="835"/>
      <c r="Q893" s="540"/>
      <c r="R893" s="540"/>
      <c r="S893" s="540"/>
      <c r="T893" s="540"/>
      <c r="U893" s="540"/>
      <c r="V893" s="540"/>
      <c r="W893" s="540"/>
      <c r="X893" s="540"/>
      <c r="Y893" s="540"/>
      <c r="Z893" s="540"/>
    </row>
    <row r="894" spans="1:26" ht="19">
      <c r="A894" s="631"/>
      <c r="B894" s="631"/>
      <c r="C894" s="631"/>
      <c r="D894" s="832"/>
      <c r="E894" s="631"/>
      <c r="F894" s="631"/>
      <c r="G894" s="631"/>
      <c r="H894" s="833"/>
      <c r="I894" s="834"/>
      <c r="J894" s="834"/>
      <c r="K894" s="835"/>
      <c r="L894" s="835"/>
      <c r="M894" s="835"/>
      <c r="N894" s="835"/>
      <c r="O894" s="835"/>
      <c r="P894" s="835"/>
      <c r="Q894" s="540"/>
      <c r="R894" s="540"/>
      <c r="S894" s="540"/>
      <c r="T894" s="540"/>
      <c r="U894" s="540"/>
      <c r="V894" s="540"/>
      <c r="W894" s="540"/>
      <c r="X894" s="540"/>
      <c r="Y894" s="540"/>
      <c r="Z894" s="540"/>
    </row>
    <row r="895" spans="1:26" ht="19">
      <c r="A895" s="631"/>
      <c r="B895" s="631"/>
      <c r="C895" s="631"/>
      <c r="D895" s="832"/>
      <c r="E895" s="631"/>
      <c r="F895" s="631"/>
      <c r="G895" s="631"/>
      <c r="H895" s="833"/>
      <c r="I895" s="834"/>
      <c r="J895" s="834"/>
      <c r="K895" s="835"/>
      <c r="L895" s="835"/>
      <c r="M895" s="835"/>
      <c r="N895" s="835"/>
      <c r="O895" s="835"/>
      <c r="P895" s="835"/>
      <c r="Q895" s="540"/>
      <c r="R895" s="540"/>
      <c r="S895" s="540"/>
      <c r="T895" s="540"/>
      <c r="U895" s="540"/>
      <c r="V895" s="540"/>
      <c r="W895" s="540"/>
      <c r="X895" s="540"/>
      <c r="Y895" s="540"/>
      <c r="Z895" s="540"/>
    </row>
    <row r="896" spans="1:26" ht="19">
      <c r="A896" s="631"/>
      <c r="B896" s="631"/>
      <c r="C896" s="631"/>
      <c r="D896" s="832"/>
      <c r="E896" s="631"/>
      <c r="F896" s="631"/>
      <c r="G896" s="631"/>
      <c r="H896" s="833"/>
      <c r="I896" s="834"/>
      <c r="J896" s="834"/>
      <c r="K896" s="835"/>
      <c r="L896" s="835"/>
      <c r="M896" s="835"/>
      <c r="N896" s="835"/>
      <c r="O896" s="835"/>
      <c r="P896" s="835"/>
      <c r="Q896" s="540"/>
      <c r="R896" s="540"/>
      <c r="S896" s="540"/>
      <c r="T896" s="540"/>
      <c r="U896" s="540"/>
      <c r="V896" s="540"/>
      <c r="W896" s="540"/>
      <c r="X896" s="540"/>
      <c r="Y896" s="540"/>
      <c r="Z896" s="540"/>
    </row>
    <row r="897" spans="1:26" ht="19">
      <c r="A897" s="631"/>
      <c r="B897" s="631"/>
      <c r="C897" s="631"/>
      <c r="D897" s="832"/>
      <c r="E897" s="631"/>
      <c r="F897" s="631"/>
      <c r="G897" s="631"/>
      <c r="H897" s="833"/>
      <c r="I897" s="834"/>
      <c r="J897" s="834"/>
      <c r="K897" s="835"/>
      <c r="L897" s="835"/>
      <c r="M897" s="835"/>
      <c r="N897" s="835"/>
      <c r="O897" s="835"/>
      <c r="P897" s="835"/>
      <c r="Q897" s="540"/>
      <c r="R897" s="540"/>
      <c r="S897" s="540"/>
      <c r="T897" s="540"/>
      <c r="U897" s="540"/>
      <c r="V897" s="540"/>
      <c r="W897" s="540"/>
      <c r="X897" s="540"/>
      <c r="Y897" s="540"/>
      <c r="Z897" s="540"/>
    </row>
    <row r="898" spans="1:26" ht="19">
      <c r="A898" s="631"/>
      <c r="B898" s="631"/>
      <c r="C898" s="631"/>
      <c r="D898" s="832"/>
      <c r="E898" s="631"/>
      <c r="F898" s="631"/>
      <c r="G898" s="631"/>
      <c r="H898" s="833"/>
      <c r="I898" s="834"/>
      <c r="J898" s="834"/>
      <c r="K898" s="835"/>
      <c r="L898" s="835"/>
      <c r="M898" s="835"/>
      <c r="N898" s="835"/>
      <c r="O898" s="835"/>
      <c r="P898" s="835"/>
      <c r="Q898" s="540"/>
      <c r="R898" s="540"/>
      <c r="S898" s="540"/>
      <c r="T898" s="540"/>
      <c r="U898" s="540"/>
      <c r="V898" s="540"/>
      <c r="W898" s="540"/>
      <c r="X898" s="540"/>
      <c r="Y898" s="540"/>
      <c r="Z898" s="540"/>
    </row>
    <row r="899" spans="1:26" ht="19">
      <c r="A899" s="631"/>
      <c r="B899" s="631"/>
      <c r="C899" s="631"/>
      <c r="D899" s="832"/>
      <c r="E899" s="631"/>
      <c r="F899" s="631"/>
      <c r="G899" s="631"/>
      <c r="H899" s="833"/>
      <c r="I899" s="834"/>
      <c r="J899" s="834"/>
      <c r="K899" s="835"/>
      <c r="L899" s="835"/>
      <c r="M899" s="835"/>
      <c r="N899" s="835"/>
      <c r="O899" s="835"/>
      <c r="P899" s="835"/>
      <c r="Q899" s="540"/>
      <c r="R899" s="540"/>
      <c r="S899" s="540"/>
      <c r="T899" s="540"/>
      <c r="U899" s="540"/>
      <c r="V899" s="540"/>
      <c r="W899" s="540"/>
      <c r="X899" s="540"/>
      <c r="Y899" s="540"/>
      <c r="Z899" s="540"/>
    </row>
    <row r="900" spans="1:26" ht="19">
      <c r="A900" s="631"/>
      <c r="B900" s="631"/>
      <c r="C900" s="631"/>
      <c r="D900" s="832"/>
      <c r="E900" s="631"/>
      <c r="F900" s="631"/>
      <c r="G900" s="631"/>
      <c r="H900" s="833"/>
      <c r="I900" s="834"/>
      <c r="J900" s="834"/>
      <c r="K900" s="835"/>
      <c r="L900" s="835"/>
      <c r="M900" s="835"/>
      <c r="N900" s="835"/>
      <c r="O900" s="835"/>
      <c r="P900" s="835"/>
      <c r="Q900" s="540"/>
      <c r="R900" s="540"/>
      <c r="S900" s="540"/>
      <c r="T900" s="540"/>
      <c r="U900" s="540"/>
      <c r="V900" s="540"/>
      <c r="W900" s="540"/>
      <c r="X900" s="540"/>
      <c r="Y900" s="540"/>
      <c r="Z900" s="540"/>
    </row>
    <row r="901" spans="1:26" ht="19">
      <c r="A901" s="631"/>
      <c r="B901" s="631"/>
      <c r="C901" s="631"/>
      <c r="D901" s="832"/>
      <c r="E901" s="631"/>
      <c r="F901" s="631"/>
      <c r="G901" s="631"/>
      <c r="H901" s="833"/>
      <c r="I901" s="834"/>
      <c r="J901" s="834"/>
      <c r="K901" s="835"/>
      <c r="L901" s="835"/>
      <c r="M901" s="835"/>
      <c r="N901" s="835"/>
      <c r="O901" s="835"/>
      <c r="P901" s="835"/>
      <c r="Q901" s="540"/>
      <c r="R901" s="540"/>
      <c r="S901" s="540"/>
      <c r="T901" s="540"/>
      <c r="U901" s="540"/>
      <c r="V901" s="540"/>
      <c r="W901" s="540"/>
      <c r="X901" s="540"/>
      <c r="Y901" s="540"/>
      <c r="Z901" s="540"/>
    </row>
    <row r="902" spans="1:26" ht="19">
      <c r="A902" s="631"/>
      <c r="B902" s="631"/>
      <c r="C902" s="631"/>
      <c r="D902" s="832"/>
      <c r="E902" s="631"/>
      <c r="F902" s="631"/>
      <c r="G902" s="631"/>
      <c r="H902" s="833"/>
      <c r="I902" s="834"/>
      <c r="J902" s="834"/>
      <c r="K902" s="835"/>
      <c r="L902" s="835"/>
      <c r="M902" s="835"/>
      <c r="N902" s="835"/>
      <c r="O902" s="835"/>
      <c r="P902" s="835"/>
      <c r="Q902" s="540"/>
      <c r="R902" s="540"/>
      <c r="S902" s="540"/>
      <c r="T902" s="540"/>
      <c r="U902" s="540"/>
      <c r="V902" s="540"/>
      <c r="W902" s="540"/>
      <c r="X902" s="540"/>
      <c r="Y902" s="540"/>
      <c r="Z902" s="540"/>
    </row>
    <row r="903" spans="1:26" ht="19">
      <c r="A903" s="631"/>
      <c r="B903" s="631"/>
      <c r="C903" s="631"/>
      <c r="D903" s="832"/>
      <c r="E903" s="631"/>
      <c r="F903" s="631"/>
      <c r="G903" s="631"/>
      <c r="H903" s="833"/>
      <c r="I903" s="834"/>
      <c r="J903" s="834"/>
      <c r="K903" s="835"/>
      <c r="L903" s="835"/>
      <c r="M903" s="835"/>
      <c r="N903" s="835"/>
      <c r="O903" s="835"/>
      <c r="P903" s="835"/>
      <c r="Q903" s="540"/>
      <c r="R903" s="540"/>
      <c r="S903" s="540"/>
      <c r="T903" s="540"/>
      <c r="U903" s="540"/>
      <c r="V903" s="540"/>
      <c r="W903" s="540"/>
      <c r="X903" s="540"/>
      <c r="Y903" s="540"/>
      <c r="Z903" s="540"/>
    </row>
    <row r="904" spans="1:26" ht="19">
      <c r="A904" s="631"/>
      <c r="B904" s="631"/>
      <c r="C904" s="631"/>
      <c r="D904" s="832"/>
      <c r="E904" s="631"/>
      <c r="F904" s="631"/>
      <c r="G904" s="631"/>
      <c r="H904" s="833"/>
      <c r="I904" s="834"/>
      <c r="J904" s="834"/>
      <c r="K904" s="835"/>
      <c r="L904" s="835"/>
      <c r="M904" s="835"/>
      <c r="N904" s="835"/>
      <c r="O904" s="835"/>
      <c r="P904" s="835"/>
      <c r="Q904" s="540"/>
      <c r="R904" s="540"/>
      <c r="S904" s="540"/>
      <c r="T904" s="540"/>
      <c r="U904" s="540"/>
      <c r="V904" s="540"/>
      <c r="W904" s="540"/>
      <c r="X904" s="540"/>
      <c r="Y904" s="540"/>
      <c r="Z904" s="540"/>
    </row>
    <row r="905" spans="1:26" ht="19">
      <c r="A905" s="631"/>
      <c r="B905" s="631"/>
      <c r="C905" s="631"/>
      <c r="D905" s="832"/>
      <c r="E905" s="631"/>
      <c r="F905" s="631"/>
      <c r="G905" s="631"/>
      <c r="H905" s="833"/>
      <c r="I905" s="834"/>
      <c r="J905" s="834"/>
      <c r="K905" s="835"/>
      <c r="L905" s="835"/>
      <c r="M905" s="835"/>
      <c r="N905" s="835"/>
      <c r="O905" s="835"/>
      <c r="P905" s="835"/>
      <c r="Q905" s="540"/>
      <c r="R905" s="540"/>
      <c r="S905" s="540"/>
      <c r="T905" s="540"/>
      <c r="U905" s="540"/>
      <c r="V905" s="540"/>
      <c r="W905" s="540"/>
      <c r="X905" s="540"/>
      <c r="Y905" s="540"/>
      <c r="Z905" s="540"/>
    </row>
    <row r="906" spans="1:26" ht="19">
      <c r="A906" s="631"/>
      <c r="B906" s="631"/>
      <c r="C906" s="631"/>
      <c r="D906" s="832"/>
      <c r="E906" s="631"/>
      <c r="F906" s="631"/>
      <c r="G906" s="631"/>
      <c r="H906" s="833"/>
      <c r="I906" s="834"/>
      <c r="J906" s="834"/>
      <c r="K906" s="835"/>
      <c r="L906" s="835"/>
      <c r="M906" s="835"/>
      <c r="N906" s="835"/>
      <c r="O906" s="835"/>
      <c r="P906" s="835"/>
      <c r="Q906" s="540"/>
      <c r="R906" s="540"/>
      <c r="S906" s="540"/>
      <c r="T906" s="540"/>
      <c r="U906" s="540"/>
      <c r="V906" s="540"/>
      <c r="W906" s="540"/>
      <c r="X906" s="540"/>
      <c r="Y906" s="540"/>
      <c r="Z906" s="540"/>
    </row>
    <row r="907" spans="1:26" ht="19">
      <c r="A907" s="631"/>
      <c r="B907" s="631"/>
      <c r="C907" s="631"/>
      <c r="D907" s="832"/>
      <c r="E907" s="631"/>
      <c r="F907" s="631"/>
      <c r="G907" s="631"/>
      <c r="H907" s="833"/>
      <c r="I907" s="834"/>
      <c r="J907" s="834"/>
      <c r="K907" s="835"/>
      <c r="L907" s="835"/>
      <c r="M907" s="835"/>
      <c r="N907" s="835"/>
      <c r="O907" s="835"/>
      <c r="P907" s="835"/>
      <c r="Q907" s="540"/>
      <c r="R907" s="540"/>
      <c r="S907" s="540"/>
      <c r="T907" s="540"/>
      <c r="U907" s="540"/>
      <c r="V907" s="540"/>
      <c r="W907" s="540"/>
      <c r="X907" s="540"/>
      <c r="Y907" s="540"/>
      <c r="Z907" s="540"/>
    </row>
    <row r="908" spans="1:26" ht="19">
      <c r="A908" s="631"/>
      <c r="B908" s="631"/>
      <c r="C908" s="631"/>
      <c r="D908" s="832"/>
      <c r="E908" s="631"/>
      <c r="F908" s="631"/>
      <c r="G908" s="631"/>
      <c r="H908" s="833"/>
      <c r="I908" s="834"/>
      <c r="J908" s="834"/>
      <c r="K908" s="835"/>
      <c r="L908" s="835"/>
      <c r="M908" s="835"/>
      <c r="N908" s="835"/>
      <c r="O908" s="835"/>
      <c r="P908" s="835"/>
      <c r="Q908" s="540"/>
      <c r="R908" s="540"/>
      <c r="S908" s="540"/>
      <c r="T908" s="540"/>
      <c r="U908" s="540"/>
      <c r="V908" s="540"/>
      <c r="W908" s="540"/>
      <c r="X908" s="540"/>
      <c r="Y908" s="540"/>
      <c r="Z908" s="540"/>
    </row>
    <row r="909" spans="1:26" ht="19">
      <c r="A909" s="631"/>
      <c r="B909" s="631"/>
      <c r="C909" s="631"/>
      <c r="D909" s="832"/>
      <c r="E909" s="631"/>
      <c r="F909" s="631"/>
      <c r="G909" s="631"/>
      <c r="H909" s="833"/>
      <c r="I909" s="834"/>
      <c r="J909" s="834"/>
      <c r="K909" s="835"/>
      <c r="L909" s="835"/>
      <c r="M909" s="835"/>
      <c r="N909" s="835"/>
      <c r="O909" s="835"/>
      <c r="P909" s="835"/>
      <c r="Q909" s="540"/>
      <c r="R909" s="540"/>
      <c r="S909" s="540"/>
      <c r="T909" s="540"/>
      <c r="U909" s="540"/>
      <c r="V909" s="540"/>
      <c r="W909" s="540"/>
      <c r="X909" s="540"/>
      <c r="Y909" s="540"/>
      <c r="Z909" s="540"/>
    </row>
    <row r="910" spans="1:26" ht="19">
      <c r="A910" s="631"/>
      <c r="B910" s="631"/>
      <c r="C910" s="631"/>
      <c r="D910" s="832"/>
      <c r="E910" s="631"/>
      <c r="F910" s="631"/>
      <c r="G910" s="631"/>
      <c r="H910" s="833"/>
      <c r="I910" s="834"/>
      <c r="J910" s="834"/>
      <c r="K910" s="835"/>
      <c r="L910" s="835"/>
      <c r="M910" s="835"/>
      <c r="N910" s="835"/>
      <c r="O910" s="835"/>
      <c r="P910" s="835"/>
      <c r="Q910" s="540"/>
      <c r="R910" s="540"/>
      <c r="S910" s="540"/>
      <c r="T910" s="540"/>
      <c r="U910" s="540"/>
      <c r="V910" s="540"/>
      <c r="W910" s="540"/>
      <c r="X910" s="540"/>
      <c r="Y910" s="540"/>
      <c r="Z910" s="540"/>
    </row>
    <row r="911" spans="1:26" ht="19">
      <c r="A911" s="631"/>
      <c r="B911" s="631"/>
      <c r="C911" s="631"/>
      <c r="D911" s="832"/>
      <c r="E911" s="631"/>
      <c r="F911" s="631"/>
      <c r="G911" s="631"/>
      <c r="H911" s="833"/>
      <c r="I911" s="834"/>
      <c r="J911" s="834"/>
      <c r="K911" s="835"/>
      <c r="L911" s="835"/>
      <c r="M911" s="835"/>
      <c r="N911" s="835"/>
      <c r="O911" s="835"/>
      <c r="P911" s="835"/>
      <c r="Q911" s="540"/>
      <c r="R911" s="540"/>
      <c r="S911" s="540"/>
      <c r="T911" s="540"/>
      <c r="U911" s="540"/>
      <c r="V911" s="540"/>
      <c r="W911" s="540"/>
      <c r="X911" s="540"/>
      <c r="Y911" s="540"/>
      <c r="Z911" s="540"/>
    </row>
    <row r="912" spans="1:26" ht="19">
      <c r="A912" s="631"/>
      <c r="B912" s="631"/>
      <c r="C912" s="631"/>
      <c r="D912" s="832"/>
      <c r="E912" s="631"/>
      <c r="F912" s="631"/>
      <c r="G912" s="631"/>
      <c r="H912" s="833"/>
      <c r="I912" s="834"/>
      <c r="J912" s="834"/>
      <c r="K912" s="835"/>
      <c r="L912" s="835"/>
      <c r="M912" s="835"/>
      <c r="N912" s="835"/>
      <c r="O912" s="835"/>
      <c r="P912" s="835"/>
      <c r="Q912" s="540"/>
      <c r="R912" s="540"/>
      <c r="S912" s="540"/>
      <c r="T912" s="540"/>
      <c r="U912" s="540"/>
      <c r="V912" s="540"/>
      <c r="W912" s="540"/>
      <c r="X912" s="540"/>
      <c r="Y912" s="540"/>
      <c r="Z912" s="540"/>
    </row>
    <row r="913" spans="1:26" ht="19">
      <c r="A913" s="631"/>
      <c r="B913" s="631"/>
      <c r="C913" s="631"/>
      <c r="D913" s="832"/>
      <c r="E913" s="631"/>
      <c r="F913" s="631"/>
      <c r="G913" s="631"/>
      <c r="H913" s="833"/>
      <c r="I913" s="834"/>
      <c r="J913" s="834"/>
      <c r="K913" s="835"/>
      <c r="L913" s="835"/>
      <c r="M913" s="835"/>
      <c r="N913" s="835"/>
      <c r="O913" s="835"/>
      <c r="P913" s="835"/>
      <c r="Q913" s="540"/>
      <c r="R913" s="540"/>
      <c r="S913" s="540"/>
      <c r="T913" s="540"/>
      <c r="U913" s="540"/>
      <c r="V913" s="540"/>
      <c r="W913" s="540"/>
      <c r="X913" s="540"/>
      <c r="Y913" s="540"/>
      <c r="Z913" s="540"/>
    </row>
    <row r="914" spans="1:26" ht="19">
      <c r="A914" s="631"/>
      <c r="B914" s="631"/>
      <c r="C914" s="631"/>
      <c r="D914" s="832"/>
      <c r="E914" s="631"/>
      <c r="F914" s="631"/>
      <c r="G914" s="631"/>
      <c r="H914" s="833"/>
      <c r="I914" s="834"/>
      <c r="J914" s="834"/>
      <c r="K914" s="835"/>
      <c r="L914" s="835"/>
      <c r="M914" s="835"/>
      <c r="N914" s="835"/>
      <c r="O914" s="835"/>
      <c r="P914" s="835"/>
      <c r="Q914" s="540"/>
      <c r="R914" s="540"/>
      <c r="S914" s="540"/>
      <c r="T914" s="540"/>
      <c r="U914" s="540"/>
      <c r="V914" s="540"/>
      <c r="W914" s="540"/>
      <c r="X914" s="540"/>
      <c r="Y914" s="540"/>
      <c r="Z914" s="540"/>
    </row>
    <row r="915" spans="1:26" ht="19">
      <c r="A915" s="631"/>
      <c r="B915" s="631"/>
      <c r="C915" s="631"/>
      <c r="D915" s="832"/>
      <c r="E915" s="631"/>
      <c r="F915" s="631"/>
      <c r="G915" s="631"/>
      <c r="H915" s="833"/>
      <c r="I915" s="834"/>
      <c r="J915" s="834"/>
      <c r="K915" s="835"/>
      <c r="L915" s="835"/>
      <c r="M915" s="835"/>
      <c r="N915" s="835"/>
      <c r="O915" s="835"/>
      <c r="P915" s="835"/>
      <c r="Q915" s="540"/>
      <c r="R915" s="540"/>
      <c r="S915" s="540"/>
      <c r="T915" s="540"/>
      <c r="U915" s="540"/>
      <c r="V915" s="540"/>
      <c r="W915" s="540"/>
      <c r="X915" s="540"/>
      <c r="Y915" s="540"/>
      <c r="Z915" s="540"/>
    </row>
    <row r="916" spans="1:26" ht="19">
      <c r="A916" s="631"/>
      <c r="B916" s="631"/>
      <c r="C916" s="631"/>
      <c r="D916" s="832"/>
      <c r="E916" s="631"/>
      <c r="F916" s="631"/>
      <c r="G916" s="631"/>
      <c r="H916" s="833"/>
      <c r="I916" s="834"/>
      <c r="J916" s="834"/>
      <c r="K916" s="835"/>
      <c r="L916" s="835"/>
      <c r="M916" s="835"/>
      <c r="N916" s="835"/>
      <c r="O916" s="835"/>
      <c r="P916" s="835"/>
      <c r="Q916" s="540"/>
      <c r="R916" s="540"/>
      <c r="S916" s="540"/>
      <c r="T916" s="540"/>
      <c r="U916" s="540"/>
      <c r="V916" s="540"/>
      <c r="W916" s="540"/>
      <c r="X916" s="540"/>
      <c r="Y916" s="540"/>
      <c r="Z916" s="540"/>
    </row>
    <row r="917" spans="1:26" ht="19">
      <c r="A917" s="631"/>
      <c r="B917" s="631"/>
      <c r="C917" s="631"/>
      <c r="D917" s="832"/>
      <c r="E917" s="631"/>
      <c r="F917" s="631"/>
      <c r="G917" s="631"/>
      <c r="H917" s="833"/>
      <c r="I917" s="834"/>
      <c r="J917" s="834"/>
      <c r="K917" s="835"/>
      <c r="L917" s="835"/>
      <c r="M917" s="835"/>
      <c r="N917" s="835"/>
      <c r="O917" s="835"/>
      <c r="P917" s="835"/>
      <c r="Q917" s="540"/>
      <c r="R917" s="540"/>
      <c r="S917" s="540"/>
      <c r="T917" s="540"/>
      <c r="U917" s="540"/>
      <c r="V917" s="540"/>
      <c r="W917" s="540"/>
      <c r="X917" s="540"/>
      <c r="Y917" s="540"/>
      <c r="Z917" s="540"/>
    </row>
    <row r="918" spans="1:26" ht="19">
      <c r="A918" s="631"/>
      <c r="B918" s="631"/>
      <c r="C918" s="631"/>
      <c r="D918" s="832"/>
      <c r="E918" s="631"/>
      <c r="F918" s="631"/>
      <c r="G918" s="631"/>
      <c r="H918" s="833"/>
      <c r="I918" s="834"/>
      <c r="J918" s="834"/>
      <c r="K918" s="835"/>
      <c r="L918" s="835"/>
      <c r="M918" s="835"/>
      <c r="N918" s="835"/>
      <c r="O918" s="835"/>
      <c r="P918" s="835"/>
      <c r="Q918" s="540"/>
      <c r="R918" s="540"/>
      <c r="S918" s="540"/>
      <c r="T918" s="540"/>
      <c r="U918" s="540"/>
      <c r="V918" s="540"/>
      <c r="W918" s="540"/>
      <c r="X918" s="540"/>
      <c r="Y918" s="540"/>
      <c r="Z918" s="540"/>
    </row>
    <row r="919" spans="1:26" ht="19">
      <c r="A919" s="631"/>
      <c r="B919" s="631"/>
      <c r="C919" s="631"/>
      <c r="D919" s="832"/>
      <c r="E919" s="631"/>
      <c r="F919" s="631"/>
      <c r="G919" s="631"/>
      <c r="H919" s="833"/>
      <c r="I919" s="834"/>
      <c r="J919" s="834"/>
      <c r="K919" s="835"/>
      <c r="L919" s="835"/>
      <c r="M919" s="835"/>
      <c r="N919" s="835"/>
      <c r="O919" s="835"/>
      <c r="P919" s="835"/>
      <c r="Q919" s="540"/>
      <c r="R919" s="540"/>
      <c r="S919" s="540"/>
      <c r="T919" s="540"/>
      <c r="U919" s="540"/>
      <c r="V919" s="540"/>
      <c r="W919" s="540"/>
      <c r="X919" s="540"/>
      <c r="Y919" s="540"/>
      <c r="Z919" s="540"/>
    </row>
    <row r="920" spans="1:26" ht="19">
      <c r="A920" s="631"/>
      <c r="B920" s="631"/>
      <c r="C920" s="631"/>
      <c r="D920" s="832"/>
      <c r="E920" s="631"/>
      <c r="F920" s="631"/>
      <c r="G920" s="631"/>
      <c r="H920" s="833"/>
      <c r="I920" s="834"/>
      <c r="J920" s="834"/>
      <c r="K920" s="835"/>
      <c r="L920" s="835"/>
      <c r="M920" s="835"/>
      <c r="N920" s="835"/>
      <c r="O920" s="835"/>
      <c r="P920" s="835"/>
      <c r="Q920" s="540"/>
      <c r="R920" s="540"/>
      <c r="S920" s="540"/>
      <c r="T920" s="540"/>
      <c r="U920" s="540"/>
      <c r="V920" s="540"/>
      <c r="W920" s="540"/>
      <c r="X920" s="540"/>
      <c r="Y920" s="540"/>
      <c r="Z920" s="540"/>
    </row>
    <row r="921" spans="1:26" ht="19">
      <c r="A921" s="631"/>
      <c r="B921" s="631"/>
      <c r="C921" s="631"/>
      <c r="D921" s="832"/>
      <c r="E921" s="631"/>
      <c r="F921" s="631"/>
      <c r="G921" s="631"/>
      <c r="H921" s="833"/>
      <c r="I921" s="834"/>
      <c r="J921" s="834"/>
      <c r="K921" s="835"/>
      <c r="L921" s="835"/>
      <c r="M921" s="835"/>
      <c r="N921" s="835"/>
      <c r="O921" s="835"/>
      <c r="P921" s="835"/>
      <c r="Q921" s="540"/>
      <c r="R921" s="540"/>
      <c r="S921" s="540"/>
      <c r="T921" s="540"/>
      <c r="U921" s="540"/>
      <c r="V921" s="540"/>
      <c r="W921" s="540"/>
      <c r="X921" s="540"/>
      <c r="Y921" s="540"/>
      <c r="Z921" s="540"/>
    </row>
    <row r="922" spans="1:26" ht="19">
      <c r="A922" s="631"/>
      <c r="B922" s="631"/>
      <c r="C922" s="631"/>
      <c r="D922" s="832"/>
      <c r="E922" s="631"/>
      <c r="F922" s="631"/>
      <c r="G922" s="631"/>
      <c r="H922" s="833"/>
      <c r="I922" s="834"/>
      <c r="J922" s="834"/>
      <c r="K922" s="835"/>
      <c r="L922" s="835"/>
      <c r="M922" s="835"/>
      <c r="N922" s="835"/>
      <c r="O922" s="835"/>
      <c r="P922" s="835"/>
      <c r="Q922" s="540"/>
      <c r="R922" s="540"/>
      <c r="S922" s="540"/>
      <c r="T922" s="540"/>
      <c r="U922" s="540"/>
      <c r="V922" s="540"/>
      <c r="W922" s="540"/>
      <c r="X922" s="540"/>
      <c r="Y922" s="540"/>
      <c r="Z922" s="540"/>
    </row>
    <row r="923" spans="1:26" ht="19">
      <c r="A923" s="631"/>
      <c r="B923" s="631"/>
      <c r="C923" s="631"/>
      <c r="D923" s="832"/>
      <c r="E923" s="631"/>
      <c r="F923" s="631"/>
      <c r="G923" s="631"/>
      <c r="H923" s="833"/>
      <c r="I923" s="834"/>
      <c r="J923" s="834"/>
      <c r="K923" s="835"/>
      <c r="L923" s="835"/>
      <c r="M923" s="835"/>
      <c r="N923" s="835"/>
      <c r="O923" s="835"/>
      <c r="P923" s="835"/>
      <c r="Q923" s="540"/>
      <c r="R923" s="540"/>
      <c r="S923" s="540"/>
      <c r="T923" s="540"/>
      <c r="U923" s="540"/>
      <c r="V923" s="540"/>
      <c r="W923" s="540"/>
      <c r="X923" s="540"/>
      <c r="Y923" s="540"/>
      <c r="Z923" s="540"/>
    </row>
    <row r="924" spans="1:26" ht="19">
      <c r="A924" s="631"/>
      <c r="B924" s="631"/>
      <c r="C924" s="631"/>
      <c r="D924" s="832"/>
      <c r="E924" s="631"/>
      <c r="F924" s="631"/>
      <c r="G924" s="631"/>
      <c r="H924" s="833"/>
      <c r="I924" s="834"/>
      <c r="J924" s="834"/>
      <c r="K924" s="835"/>
      <c r="L924" s="835"/>
      <c r="M924" s="835"/>
      <c r="N924" s="835"/>
      <c r="O924" s="835"/>
      <c r="P924" s="835"/>
      <c r="Q924" s="540"/>
      <c r="R924" s="540"/>
      <c r="S924" s="540"/>
      <c r="T924" s="540"/>
      <c r="U924" s="540"/>
      <c r="V924" s="540"/>
      <c r="W924" s="540"/>
      <c r="X924" s="540"/>
      <c r="Y924" s="540"/>
      <c r="Z924" s="540"/>
    </row>
    <row r="925" spans="1:26" ht="19">
      <c r="A925" s="631"/>
      <c r="B925" s="631"/>
      <c r="C925" s="631"/>
      <c r="D925" s="832"/>
      <c r="E925" s="631"/>
      <c r="F925" s="631"/>
      <c r="G925" s="631"/>
      <c r="H925" s="833"/>
      <c r="I925" s="834"/>
      <c r="J925" s="834"/>
      <c r="K925" s="835"/>
      <c r="L925" s="835"/>
      <c r="M925" s="835"/>
      <c r="N925" s="835"/>
      <c r="O925" s="835"/>
      <c r="P925" s="835"/>
      <c r="Q925" s="540"/>
      <c r="R925" s="540"/>
      <c r="S925" s="540"/>
      <c r="T925" s="540"/>
      <c r="U925" s="540"/>
      <c r="V925" s="540"/>
      <c r="W925" s="540"/>
      <c r="X925" s="540"/>
      <c r="Y925" s="540"/>
      <c r="Z925" s="540"/>
    </row>
    <row r="926" spans="1:26" ht="19">
      <c r="A926" s="631"/>
      <c r="B926" s="631"/>
      <c r="C926" s="631"/>
      <c r="D926" s="832"/>
      <c r="E926" s="631"/>
      <c r="F926" s="631"/>
      <c r="G926" s="631"/>
      <c r="H926" s="833"/>
      <c r="I926" s="834"/>
      <c r="J926" s="834"/>
      <c r="K926" s="835"/>
      <c r="L926" s="835"/>
      <c r="M926" s="835"/>
      <c r="N926" s="835"/>
      <c r="O926" s="835"/>
      <c r="P926" s="835"/>
      <c r="Q926" s="540"/>
      <c r="R926" s="540"/>
      <c r="S926" s="540"/>
      <c r="T926" s="540"/>
      <c r="U926" s="540"/>
      <c r="V926" s="540"/>
      <c r="W926" s="540"/>
      <c r="X926" s="540"/>
      <c r="Y926" s="540"/>
      <c r="Z926" s="540"/>
    </row>
    <row r="927" spans="1:26" ht="19">
      <c r="A927" s="631"/>
      <c r="B927" s="631"/>
      <c r="C927" s="631"/>
      <c r="D927" s="832"/>
      <c r="E927" s="631"/>
      <c r="F927" s="631"/>
      <c r="G927" s="631"/>
      <c r="H927" s="833"/>
      <c r="I927" s="834"/>
      <c r="J927" s="834"/>
      <c r="K927" s="835"/>
      <c r="L927" s="835"/>
      <c r="M927" s="835"/>
      <c r="N927" s="835"/>
      <c r="O927" s="835"/>
      <c r="P927" s="835"/>
      <c r="Q927" s="540"/>
      <c r="R927" s="540"/>
      <c r="S927" s="540"/>
      <c r="T927" s="540"/>
      <c r="U927" s="540"/>
      <c r="V927" s="540"/>
      <c r="W927" s="540"/>
      <c r="X927" s="540"/>
      <c r="Y927" s="540"/>
      <c r="Z927" s="540"/>
    </row>
    <row r="928" spans="1:26" ht="19">
      <c r="A928" s="631"/>
      <c r="B928" s="631"/>
      <c r="C928" s="631"/>
      <c r="D928" s="832"/>
      <c r="E928" s="631"/>
      <c r="F928" s="631"/>
      <c r="G928" s="631"/>
      <c r="H928" s="833"/>
      <c r="I928" s="834"/>
      <c r="J928" s="834"/>
      <c r="K928" s="835"/>
      <c r="L928" s="835"/>
      <c r="M928" s="835"/>
      <c r="N928" s="835"/>
      <c r="O928" s="835"/>
      <c r="P928" s="835"/>
      <c r="Q928" s="540"/>
      <c r="R928" s="540"/>
      <c r="S928" s="540"/>
      <c r="T928" s="540"/>
      <c r="U928" s="540"/>
      <c r="V928" s="540"/>
      <c r="W928" s="540"/>
      <c r="X928" s="540"/>
      <c r="Y928" s="540"/>
      <c r="Z928" s="540"/>
    </row>
    <row r="929" spans="1:26" ht="19">
      <c r="A929" s="631"/>
      <c r="B929" s="631"/>
      <c r="C929" s="631"/>
      <c r="D929" s="832"/>
      <c r="E929" s="631"/>
      <c r="F929" s="631"/>
      <c r="G929" s="631"/>
      <c r="H929" s="833"/>
      <c r="I929" s="834"/>
      <c r="J929" s="834"/>
      <c r="K929" s="835"/>
      <c r="L929" s="835"/>
      <c r="M929" s="835"/>
      <c r="N929" s="835"/>
      <c r="O929" s="835"/>
      <c r="P929" s="835"/>
      <c r="Q929" s="540"/>
      <c r="R929" s="540"/>
      <c r="S929" s="540"/>
      <c r="T929" s="540"/>
      <c r="U929" s="540"/>
      <c r="V929" s="540"/>
      <c r="W929" s="540"/>
      <c r="X929" s="540"/>
      <c r="Y929" s="540"/>
      <c r="Z929" s="540"/>
    </row>
    <row r="930" spans="1:26" ht="19">
      <c r="A930" s="631"/>
      <c r="B930" s="631"/>
      <c r="C930" s="631"/>
      <c r="D930" s="832"/>
      <c r="E930" s="631"/>
      <c r="F930" s="631"/>
      <c r="G930" s="631"/>
      <c r="H930" s="833"/>
      <c r="I930" s="834"/>
      <c r="J930" s="834"/>
      <c r="K930" s="835"/>
      <c r="L930" s="835"/>
      <c r="M930" s="835"/>
      <c r="N930" s="835"/>
      <c r="O930" s="835"/>
      <c r="P930" s="835"/>
      <c r="Q930" s="540"/>
      <c r="R930" s="540"/>
      <c r="S930" s="540"/>
      <c r="T930" s="540"/>
      <c r="U930" s="540"/>
      <c r="V930" s="540"/>
      <c r="W930" s="540"/>
      <c r="X930" s="540"/>
      <c r="Y930" s="540"/>
      <c r="Z930" s="540"/>
    </row>
    <row r="931" spans="1:26" ht="19">
      <c r="A931" s="631"/>
      <c r="B931" s="631"/>
      <c r="C931" s="631"/>
      <c r="D931" s="832"/>
      <c r="E931" s="631"/>
      <c r="F931" s="631"/>
      <c r="G931" s="631"/>
      <c r="H931" s="833"/>
      <c r="I931" s="834"/>
      <c r="J931" s="834"/>
      <c r="K931" s="835"/>
      <c r="L931" s="835"/>
      <c r="M931" s="835"/>
      <c r="N931" s="835"/>
      <c r="O931" s="835"/>
      <c r="P931" s="835"/>
      <c r="Q931" s="540"/>
      <c r="R931" s="540"/>
      <c r="S931" s="540"/>
      <c r="T931" s="540"/>
      <c r="U931" s="540"/>
      <c r="V931" s="540"/>
      <c r="W931" s="540"/>
      <c r="X931" s="540"/>
      <c r="Y931" s="540"/>
      <c r="Z931" s="540"/>
    </row>
    <row r="932" spans="1:26" ht="19">
      <c r="A932" s="631"/>
      <c r="B932" s="631"/>
      <c r="C932" s="631"/>
      <c r="D932" s="832"/>
      <c r="E932" s="631"/>
      <c r="F932" s="631"/>
      <c r="G932" s="631"/>
      <c r="H932" s="833"/>
      <c r="I932" s="834"/>
      <c r="J932" s="834"/>
      <c r="K932" s="835"/>
      <c r="L932" s="835"/>
      <c r="M932" s="835"/>
      <c r="N932" s="835"/>
      <c r="O932" s="835"/>
      <c r="P932" s="835"/>
      <c r="Q932" s="540"/>
      <c r="R932" s="540"/>
      <c r="S932" s="540"/>
      <c r="T932" s="540"/>
      <c r="U932" s="540"/>
      <c r="V932" s="540"/>
      <c r="W932" s="540"/>
      <c r="X932" s="540"/>
      <c r="Y932" s="540"/>
      <c r="Z932" s="540"/>
    </row>
    <row r="933" spans="1:26" ht="19">
      <c r="A933" s="631"/>
      <c r="B933" s="631"/>
      <c r="C933" s="631"/>
      <c r="D933" s="832"/>
      <c r="E933" s="631"/>
      <c r="F933" s="631"/>
      <c r="G933" s="631"/>
      <c r="H933" s="833"/>
      <c r="I933" s="834"/>
      <c r="J933" s="834"/>
      <c r="K933" s="835"/>
      <c r="L933" s="835"/>
      <c r="M933" s="835"/>
      <c r="N933" s="835"/>
      <c r="O933" s="835"/>
      <c r="P933" s="835"/>
      <c r="Q933" s="540"/>
      <c r="R933" s="540"/>
      <c r="S933" s="540"/>
      <c r="T933" s="540"/>
      <c r="U933" s="540"/>
      <c r="V933" s="540"/>
      <c r="W933" s="540"/>
      <c r="X933" s="540"/>
      <c r="Y933" s="540"/>
      <c r="Z933" s="540"/>
    </row>
    <row r="934" spans="1:26" ht="19">
      <c r="A934" s="631"/>
      <c r="B934" s="631"/>
      <c r="C934" s="631"/>
      <c r="D934" s="832"/>
      <c r="E934" s="631"/>
      <c r="F934" s="631"/>
      <c r="G934" s="631"/>
      <c r="H934" s="833"/>
      <c r="I934" s="834"/>
      <c r="J934" s="834"/>
      <c r="K934" s="835"/>
      <c r="L934" s="835"/>
      <c r="M934" s="835"/>
      <c r="N934" s="835"/>
      <c r="O934" s="835"/>
      <c r="P934" s="835"/>
      <c r="Q934" s="540"/>
      <c r="R934" s="540"/>
      <c r="S934" s="540"/>
      <c r="T934" s="540"/>
      <c r="U934" s="540"/>
      <c r="V934" s="540"/>
      <c r="W934" s="540"/>
      <c r="X934" s="540"/>
      <c r="Y934" s="540"/>
      <c r="Z934" s="540"/>
    </row>
    <row r="935" spans="1:26" ht="19">
      <c r="A935" s="631"/>
      <c r="B935" s="631"/>
      <c r="C935" s="631"/>
      <c r="D935" s="832"/>
      <c r="E935" s="631"/>
      <c r="F935" s="631"/>
      <c r="G935" s="631"/>
      <c r="H935" s="833"/>
      <c r="I935" s="834"/>
      <c r="J935" s="834"/>
      <c r="K935" s="835"/>
      <c r="L935" s="835"/>
      <c r="M935" s="835"/>
      <c r="N935" s="835"/>
      <c r="O935" s="835"/>
      <c r="P935" s="835"/>
      <c r="Q935" s="540"/>
      <c r="R935" s="540"/>
      <c r="S935" s="540"/>
      <c r="T935" s="540"/>
      <c r="U935" s="540"/>
      <c r="V935" s="540"/>
      <c r="W935" s="540"/>
      <c r="X935" s="540"/>
      <c r="Y935" s="540"/>
      <c r="Z935" s="540"/>
    </row>
    <row r="936" spans="1:26" ht="19">
      <c r="A936" s="631"/>
      <c r="B936" s="631"/>
      <c r="C936" s="631"/>
      <c r="D936" s="832"/>
      <c r="E936" s="631"/>
      <c r="F936" s="631"/>
      <c r="G936" s="631"/>
      <c r="H936" s="833"/>
      <c r="I936" s="834"/>
      <c r="J936" s="834"/>
      <c r="K936" s="835"/>
      <c r="L936" s="835"/>
      <c r="M936" s="835"/>
      <c r="N936" s="835"/>
      <c r="O936" s="835"/>
      <c r="P936" s="835"/>
      <c r="Q936" s="540"/>
      <c r="R936" s="540"/>
      <c r="S936" s="540"/>
      <c r="T936" s="540"/>
      <c r="U936" s="540"/>
      <c r="V936" s="540"/>
      <c r="W936" s="540"/>
      <c r="X936" s="540"/>
      <c r="Y936" s="540"/>
      <c r="Z936" s="540"/>
    </row>
    <row r="937" spans="1:26" ht="19">
      <c r="A937" s="631"/>
      <c r="B937" s="631"/>
      <c r="C937" s="631"/>
      <c r="D937" s="832"/>
      <c r="E937" s="631"/>
      <c r="F937" s="631"/>
      <c r="G937" s="631"/>
      <c r="H937" s="833"/>
      <c r="I937" s="834"/>
      <c r="J937" s="834"/>
      <c r="K937" s="835"/>
      <c r="L937" s="835"/>
      <c r="M937" s="835"/>
      <c r="N937" s="835"/>
      <c r="O937" s="835"/>
      <c r="P937" s="835"/>
      <c r="Q937" s="540"/>
      <c r="R937" s="540"/>
      <c r="S937" s="540"/>
      <c r="T937" s="540"/>
      <c r="U937" s="540"/>
      <c r="V937" s="540"/>
      <c r="W937" s="540"/>
      <c r="X937" s="540"/>
      <c r="Y937" s="540"/>
      <c r="Z937" s="540"/>
    </row>
    <row r="938" spans="1:26" ht="19">
      <c r="A938" s="631"/>
      <c r="B938" s="631"/>
      <c r="C938" s="631"/>
      <c r="D938" s="832"/>
      <c r="E938" s="631"/>
      <c r="F938" s="631"/>
      <c r="G938" s="631"/>
      <c r="H938" s="833"/>
      <c r="I938" s="834"/>
      <c r="J938" s="834"/>
      <c r="K938" s="835"/>
      <c r="L938" s="835"/>
      <c r="M938" s="835"/>
      <c r="N938" s="835"/>
      <c r="O938" s="835"/>
      <c r="P938" s="835"/>
      <c r="Q938" s="540"/>
      <c r="R938" s="540"/>
      <c r="S938" s="540"/>
      <c r="T938" s="540"/>
      <c r="U938" s="540"/>
      <c r="V938" s="540"/>
      <c r="W938" s="540"/>
      <c r="X938" s="540"/>
      <c r="Y938" s="540"/>
      <c r="Z938" s="540"/>
    </row>
    <row r="939" spans="1:26" ht="19">
      <c r="A939" s="631"/>
      <c r="B939" s="631"/>
      <c r="C939" s="631"/>
      <c r="D939" s="832"/>
      <c r="E939" s="631"/>
      <c r="F939" s="631"/>
      <c r="G939" s="631"/>
      <c r="H939" s="833"/>
      <c r="I939" s="834"/>
      <c r="J939" s="834"/>
      <c r="K939" s="835"/>
      <c r="L939" s="835"/>
      <c r="M939" s="835"/>
      <c r="N939" s="835"/>
      <c r="O939" s="835"/>
      <c r="P939" s="835"/>
      <c r="Q939" s="540"/>
      <c r="R939" s="540"/>
      <c r="S939" s="540"/>
      <c r="T939" s="540"/>
      <c r="U939" s="540"/>
      <c r="V939" s="540"/>
      <c r="W939" s="540"/>
      <c r="X939" s="540"/>
      <c r="Y939" s="540"/>
      <c r="Z939" s="540"/>
    </row>
    <row r="940" spans="1:26" ht="19">
      <c r="A940" s="631"/>
      <c r="B940" s="631"/>
      <c r="C940" s="631"/>
      <c r="D940" s="832"/>
      <c r="E940" s="631"/>
      <c r="F940" s="631"/>
      <c r="G940" s="631"/>
      <c r="H940" s="833"/>
      <c r="I940" s="834"/>
      <c r="J940" s="834"/>
      <c r="K940" s="835"/>
      <c r="L940" s="835"/>
      <c r="M940" s="835"/>
      <c r="N940" s="835"/>
      <c r="O940" s="835"/>
      <c r="P940" s="835"/>
      <c r="Q940" s="540"/>
      <c r="R940" s="540"/>
      <c r="S940" s="540"/>
      <c r="T940" s="540"/>
      <c r="U940" s="540"/>
      <c r="V940" s="540"/>
      <c r="W940" s="540"/>
      <c r="X940" s="540"/>
      <c r="Y940" s="540"/>
      <c r="Z940" s="540"/>
    </row>
    <row r="941" spans="1:26" ht="19">
      <c r="A941" s="631"/>
      <c r="B941" s="631"/>
      <c r="C941" s="631"/>
      <c r="D941" s="832"/>
      <c r="E941" s="631"/>
      <c r="F941" s="631"/>
      <c r="G941" s="631"/>
      <c r="H941" s="833"/>
      <c r="I941" s="834"/>
      <c r="J941" s="834"/>
      <c r="K941" s="835"/>
      <c r="L941" s="835"/>
      <c r="M941" s="835"/>
      <c r="N941" s="835"/>
      <c r="O941" s="835"/>
      <c r="P941" s="835"/>
      <c r="Q941" s="540"/>
      <c r="R941" s="540"/>
      <c r="S941" s="540"/>
      <c r="T941" s="540"/>
      <c r="U941" s="540"/>
      <c r="V941" s="540"/>
      <c r="W941" s="540"/>
      <c r="X941" s="540"/>
      <c r="Y941" s="540"/>
      <c r="Z941" s="540"/>
    </row>
    <row r="942" spans="1:26" ht="19">
      <c r="A942" s="631"/>
      <c r="B942" s="631"/>
      <c r="C942" s="631"/>
      <c r="D942" s="832"/>
      <c r="E942" s="631"/>
      <c r="F942" s="631"/>
      <c r="G942" s="631"/>
      <c r="H942" s="833"/>
      <c r="I942" s="834"/>
      <c r="J942" s="834"/>
      <c r="K942" s="835"/>
      <c r="L942" s="835"/>
      <c r="M942" s="835"/>
      <c r="N942" s="835"/>
      <c r="O942" s="835"/>
      <c r="P942" s="835"/>
      <c r="Q942" s="540"/>
      <c r="R942" s="540"/>
      <c r="S942" s="540"/>
      <c r="T942" s="540"/>
      <c r="U942" s="540"/>
      <c r="V942" s="540"/>
      <c r="W942" s="540"/>
      <c r="X942" s="540"/>
      <c r="Y942" s="540"/>
      <c r="Z942" s="540"/>
    </row>
    <row r="943" spans="1:26" ht="19">
      <c r="A943" s="631"/>
      <c r="B943" s="631"/>
      <c r="C943" s="631"/>
      <c r="D943" s="832"/>
      <c r="E943" s="631"/>
      <c r="F943" s="631"/>
      <c r="G943" s="631"/>
      <c r="H943" s="833"/>
      <c r="I943" s="834"/>
      <c r="J943" s="834"/>
      <c r="K943" s="835"/>
      <c r="L943" s="835"/>
      <c r="M943" s="835"/>
      <c r="N943" s="835"/>
      <c r="O943" s="835"/>
      <c r="P943" s="835"/>
      <c r="Q943" s="540"/>
      <c r="R943" s="540"/>
      <c r="S943" s="540"/>
      <c r="T943" s="540"/>
      <c r="U943" s="540"/>
      <c r="V943" s="540"/>
      <c r="W943" s="540"/>
      <c r="X943" s="540"/>
      <c r="Y943" s="540"/>
      <c r="Z943" s="540"/>
    </row>
    <row r="944" spans="1:26" ht="19">
      <c r="A944" s="631"/>
      <c r="B944" s="631"/>
      <c r="C944" s="631"/>
      <c r="D944" s="832"/>
      <c r="E944" s="631"/>
      <c r="F944" s="631"/>
      <c r="G944" s="631"/>
      <c r="H944" s="833"/>
      <c r="I944" s="834"/>
      <c r="J944" s="834"/>
      <c r="K944" s="835"/>
      <c r="L944" s="835"/>
      <c r="M944" s="835"/>
      <c r="N944" s="835"/>
      <c r="O944" s="835"/>
      <c r="P944" s="835"/>
      <c r="Q944" s="540"/>
      <c r="R944" s="540"/>
      <c r="S944" s="540"/>
      <c r="T944" s="540"/>
      <c r="U944" s="540"/>
      <c r="V944" s="540"/>
      <c r="W944" s="540"/>
      <c r="X944" s="540"/>
      <c r="Y944" s="540"/>
      <c r="Z944" s="540"/>
    </row>
    <row r="945" spans="1:26" ht="19">
      <c r="A945" s="631"/>
      <c r="B945" s="631"/>
      <c r="C945" s="631"/>
      <c r="D945" s="832"/>
      <c r="E945" s="631"/>
      <c r="F945" s="631"/>
      <c r="G945" s="631"/>
      <c r="H945" s="833"/>
      <c r="I945" s="834"/>
      <c r="J945" s="834"/>
      <c r="K945" s="835"/>
      <c r="L945" s="835"/>
      <c r="M945" s="835"/>
      <c r="N945" s="835"/>
      <c r="O945" s="835"/>
      <c r="P945" s="835"/>
      <c r="Q945" s="540"/>
      <c r="R945" s="540"/>
      <c r="S945" s="540"/>
      <c r="T945" s="540"/>
      <c r="U945" s="540"/>
      <c r="V945" s="540"/>
      <c r="W945" s="540"/>
      <c r="X945" s="540"/>
      <c r="Y945" s="540"/>
      <c r="Z945" s="540"/>
    </row>
    <row r="946" spans="1:26" ht="19">
      <c r="A946" s="631"/>
      <c r="B946" s="631"/>
      <c r="C946" s="631"/>
      <c r="D946" s="832"/>
      <c r="E946" s="631"/>
      <c r="F946" s="631"/>
      <c r="G946" s="631"/>
      <c r="H946" s="833"/>
      <c r="I946" s="834"/>
      <c r="J946" s="834"/>
      <c r="K946" s="835"/>
      <c r="L946" s="835"/>
      <c r="M946" s="835"/>
      <c r="N946" s="835"/>
      <c r="O946" s="835"/>
      <c r="P946" s="835"/>
      <c r="Q946" s="540"/>
      <c r="R946" s="540"/>
      <c r="S946" s="540"/>
      <c r="T946" s="540"/>
      <c r="U946" s="540"/>
      <c r="V946" s="540"/>
      <c r="W946" s="540"/>
      <c r="X946" s="540"/>
      <c r="Y946" s="540"/>
      <c r="Z946" s="540"/>
    </row>
    <row r="947" spans="1:26" ht="19">
      <c r="A947" s="631"/>
      <c r="B947" s="631"/>
      <c r="C947" s="631"/>
      <c r="D947" s="832"/>
      <c r="E947" s="631"/>
      <c r="F947" s="631"/>
      <c r="G947" s="631"/>
      <c r="H947" s="833"/>
      <c r="I947" s="834"/>
      <c r="J947" s="834"/>
      <c r="K947" s="835"/>
      <c r="L947" s="835"/>
      <c r="M947" s="835"/>
      <c r="N947" s="835"/>
      <c r="O947" s="835"/>
      <c r="P947" s="835"/>
      <c r="Q947" s="540"/>
      <c r="R947" s="540"/>
      <c r="S947" s="540"/>
      <c r="T947" s="540"/>
      <c r="U947" s="540"/>
      <c r="V947" s="540"/>
      <c r="W947" s="540"/>
      <c r="X947" s="540"/>
      <c r="Y947" s="540"/>
      <c r="Z947" s="540"/>
    </row>
    <row r="948" spans="1:26" ht="19">
      <c r="A948" s="631"/>
      <c r="B948" s="631"/>
      <c r="C948" s="631"/>
      <c r="D948" s="832"/>
      <c r="E948" s="631"/>
      <c r="F948" s="631"/>
      <c r="G948" s="631"/>
      <c r="H948" s="833"/>
      <c r="I948" s="834"/>
      <c r="J948" s="834"/>
      <c r="K948" s="835"/>
      <c r="L948" s="835"/>
      <c r="M948" s="835"/>
      <c r="N948" s="835"/>
      <c r="O948" s="835"/>
      <c r="P948" s="835"/>
      <c r="Q948" s="540"/>
      <c r="R948" s="540"/>
      <c r="S948" s="540"/>
      <c r="T948" s="540"/>
      <c r="U948" s="540"/>
      <c r="V948" s="540"/>
      <c r="W948" s="540"/>
      <c r="X948" s="540"/>
      <c r="Y948" s="540"/>
      <c r="Z948" s="540"/>
    </row>
    <row r="949" spans="1:26" ht="19">
      <c r="A949" s="631"/>
      <c r="B949" s="631"/>
      <c r="C949" s="631"/>
      <c r="D949" s="832"/>
      <c r="E949" s="631"/>
      <c r="F949" s="631"/>
      <c r="G949" s="631"/>
      <c r="H949" s="833"/>
      <c r="I949" s="834"/>
      <c r="J949" s="834"/>
      <c r="K949" s="835"/>
      <c r="L949" s="835"/>
      <c r="M949" s="835"/>
      <c r="N949" s="835"/>
      <c r="O949" s="835"/>
      <c r="P949" s="835"/>
      <c r="Q949" s="540"/>
      <c r="R949" s="540"/>
      <c r="S949" s="540"/>
      <c r="T949" s="540"/>
      <c r="U949" s="540"/>
      <c r="V949" s="540"/>
      <c r="W949" s="540"/>
      <c r="X949" s="540"/>
      <c r="Y949" s="540"/>
      <c r="Z949" s="540"/>
    </row>
    <row r="950" spans="1:26" ht="19">
      <c r="A950" s="631"/>
      <c r="B950" s="631"/>
      <c r="C950" s="631"/>
      <c r="D950" s="832"/>
      <c r="E950" s="631"/>
      <c r="F950" s="631"/>
      <c r="G950" s="631"/>
      <c r="H950" s="833"/>
      <c r="I950" s="834"/>
      <c r="J950" s="834"/>
      <c r="K950" s="835"/>
      <c r="L950" s="835"/>
      <c r="M950" s="835"/>
      <c r="N950" s="835"/>
      <c r="O950" s="835"/>
      <c r="P950" s="835"/>
      <c r="Q950" s="540"/>
      <c r="R950" s="540"/>
      <c r="S950" s="540"/>
      <c r="T950" s="540"/>
      <c r="U950" s="540"/>
      <c r="V950" s="540"/>
      <c r="W950" s="540"/>
      <c r="X950" s="540"/>
      <c r="Y950" s="540"/>
      <c r="Z950" s="540"/>
    </row>
    <row r="951" spans="1:26" ht="19">
      <c r="A951" s="631"/>
      <c r="B951" s="631"/>
      <c r="C951" s="631"/>
      <c r="D951" s="832"/>
      <c r="E951" s="631"/>
      <c r="F951" s="631"/>
      <c r="G951" s="631"/>
      <c r="H951" s="833"/>
      <c r="I951" s="834"/>
      <c r="J951" s="834"/>
      <c r="K951" s="835"/>
      <c r="L951" s="835"/>
      <c r="M951" s="835"/>
      <c r="N951" s="835"/>
      <c r="O951" s="835"/>
      <c r="P951" s="835"/>
      <c r="Q951" s="540"/>
      <c r="R951" s="540"/>
      <c r="S951" s="540"/>
      <c r="T951" s="540"/>
      <c r="U951" s="540"/>
      <c r="V951" s="540"/>
      <c r="W951" s="540"/>
      <c r="X951" s="540"/>
      <c r="Y951" s="540"/>
      <c r="Z951" s="540"/>
    </row>
    <row r="952" spans="1:26" ht="19">
      <c r="A952" s="631"/>
      <c r="B952" s="631"/>
      <c r="C952" s="631"/>
      <c r="D952" s="832"/>
      <c r="E952" s="631"/>
      <c r="F952" s="631"/>
      <c r="G952" s="631"/>
      <c r="H952" s="833"/>
      <c r="I952" s="834"/>
      <c r="J952" s="834"/>
      <c r="K952" s="835"/>
      <c r="L952" s="835"/>
      <c r="M952" s="835"/>
      <c r="N952" s="835"/>
      <c r="O952" s="835"/>
      <c r="P952" s="835"/>
      <c r="Q952" s="540"/>
      <c r="R952" s="540"/>
      <c r="S952" s="540"/>
      <c r="T952" s="540"/>
      <c r="U952" s="540"/>
      <c r="V952" s="540"/>
      <c r="W952" s="540"/>
      <c r="X952" s="540"/>
      <c r="Y952" s="540"/>
      <c r="Z952" s="540"/>
    </row>
    <row r="953" spans="1:26" ht="19">
      <c r="A953" s="631"/>
      <c r="B953" s="631"/>
      <c r="C953" s="631"/>
      <c r="D953" s="832"/>
      <c r="E953" s="631"/>
      <c r="F953" s="631"/>
      <c r="G953" s="631"/>
      <c r="H953" s="833"/>
      <c r="I953" s="834"/>
      <c r="J953" s="834"/>
      <c r="K953" s="835"/>
      <c r="L953" s="835"/>
      <c r="M953" s="835"/>
      <c r="N953" s="835"/>
      <c r="O953" s="835"/>
      <c r="P953" s="835"/>
      <c r="Q953" s="540"/>
      <c r="R953" s="540"/>
      <c r="S953" s="540"/>
      <c r="T953" s="540"/>
      <c r="U953" s="540"/>
      <c r="V953" s="540"/>
      <c r="W953" s="540"/>
      <c r="X953" s="540"/>
      <c r="Y953" s="540"/>
      <c r="Z953" s="540"/>
    </row>
    <row r="954" spans="1:26" ht="19">
      <c r="A954" s="631"/>
      <c r="B954" s="631"/>
      <c r="C954" s="631"/>
      <c r="D954" s="832"/>
      <c r="E954" s="631"/>
      <c r="F954" s="631"/>
      <c r="G954" s="631"/>
      <c r="H954" s="833"/>
      <c r="I954" s="834"/>
      <c r="J954" s="834"/>
      <c r="K954" s="835"/>
      <c r="L954" s="835"/>
      <c r="M954" s="835"/>
      <c r="N954" s="835"/>
      <c r="O954" s="835"/>
      <c r="P954" s="835"/>
      <c r="Q954" s="540"/>
      <c r="R954" s="540"/>
      <c r="S954" s="540"/>
      <c r="T954" s="540"/>
      <c r="U954" s="540"/>
      <c r="V954" s="540"/>
      <c r="W954" s="540"/>
      <c r="X954" s="540"/>
      <c r="Y954" s="540"/>
      <c r="Z954" s="540"/>
    </row>
    <row r="955" spans="1:26" ht="19">
      <c r="A955" s="631"/>
      <c r="B955" s="631"/>
      <c r="C955" s="631"/>
      <c r="D955" s="832"/>
      <c r="E955" s="631"/>
      <c r="F955" s="631"/>
      <c r="G955" s="631"/>
      <c r="H955" s="833"/>
      <c r="I955" s="834"/>
      <c r="J955" s="834"/>
      <c r="K955" s="835"/>
      <c r="L955" s="835"/>
      <c r="M955" s="835"/>
      <c r="N955" s="835"/>
      <c r="O955" s="835"/>
      <c r="P955" s="835"/>
      <c r="Q955" s="540"/>
      <c r="R955" s="540"/>
      <c r="S955" s="540"/>
      <c r="T955" s="540"/>
      <c r="U955" s="540"/>
      <c r="V955" s="540"/>
      <c r="W955" s="540"/>
      <c r="X955" s="540"/>
      <c r="Y955" s="540"/>
      <c r="Z955" s="540"/>
    </row>
    <row r="956" spans="1:26" ht="19">
      <c r="A956" s="631"/>
      <c r="B956" s="631"/>
      <c r="C956" s="631"/>
      <c r="D956" s="832"/>
      <c r="E956" s="631"/>
      <c r="F956" s="631"/>
      <c r="G956" s="631"/>
      <c r="H956" s="833"/>
      <c r="I956" s="834"/>
      <c r="J956" s="834"/>
      <c r="K956" s="835"/>
      <c r="L956" s="835"/>
      <c r="M956" s="835"/>
      <c r="N956" s="835"/>
      <c r="O956" s="835"/>
      <c r="P956" s="835"/>
      <c r="Q956" s="540"/>
      <c r="R956" s="540"/>
      <c r="S956" s="540"/>
      <c r="T956" s="540"/>
      <c r="U956" s="540"/>
      <c r="V956" s="540"/>
      <c r="W956" s="540"/>
      <c r="X956" s="540"/>
      <c r="Y956" s="540"/>
      <c r="Z956" s="540"/>
    </row>
    <row r="957" spans="1:26" ht="19">
      <c r="A957" s="631"/>
      <c r="B957" s="631"/>
      <c r="C957" s="631"/>
      <c r="D957" s="832"/>
      <c r="E957" s="631"/>
      <c r="F957" s="631"/>
      <c r="G957" s="631"/>
      <c r="H957" s="833"/>
      <c r="I957" s="834"/>
      <c r="J957" s="834"/>
      <c r="K957" s="835"/>
      <c r="L957" s="835"/>
      <c r="M957" s="835"/>
      <c r="N957" s="835"/>
      <c r="O957" s="835"/>
      <c r="P957" s="835"/>
      <c r="Q957" s="540"/>
      <c r="R957" s="540"/>
      <c r="S957" s="540"/>
      <c r="T957" s="540"/>
      <c r="U957" s="540"/>
      <c r="V957" s="540"/>
      <c r="W957" s="540"/>
      <c r="X957" s="540"/>
      <c r="Y957" s="540"/>
      <c r="Z957" s="540"/>
    </row>
    <row r="958" spans="1:26" ht="19">
      <c r="A958" s="631"/>
      <c r="B958" s="631"/>
      <c r="C958" s="631"/>
      <c r="D958" s="832"/>
      <c r="E958" s="631"/>
      <c r="F958" s="631"/>
      <c r="G958" s="631"/>
      <c r="H958" s="833"/>
      <c r="I958" s="834"/>
      <c r="J958" s="834"/>
      <c r="K958" s="835"/>
      <c r="L958" s="835"/>
      <c r="M958" s="835"/>
      <c r="N958" s="835"/>
      <c r="O958" s="835"/>
      <c r="P958" s="835"/>
      <c r="Q958" s="540"/>
      <c r="R958" s="540"/>
      <c r="S958" s="540"/>
      <c r="T958" s="540"/>
      <c r="U958" s="540"/>
      <c r="V958" s="540"/>
      <c r="W958" s="540"/>
      <c r="X958" s="540"/>
      <c r="Y958" s="540"/>
      <c r="Z958" s="540"/>
    </row>
    <row r="959" spans="1:26" ht="19">
      <c r="A959" s="631"/>
      <c r="B959" s="631"/>
      <c r="C959" s="631"/>
      <c r="D959" s="832"/>
      <c r="E959" s="631"/>
      <c r="F959" s="631"/>
      <c r="G959" s="631"/>
      <c r="H959" s="833"/>
      <c r="I959" s="834"/>
      <c r="J959" s="834"/>
      <c r="K959" s="835"/>
      <c r="L959" s="835"/>
      <c r="M959" s="835"/>
      <c r="N959" s="835"/>
      <c r="O959" s="835"/>
      <c r="P959" s="835"/>
      <c r="Q959" s="540"/>
      <c r="R959" s="540"/>
      <c r="S959" s="540"/>
      <c r="T959" s="540"/>
      <c r="U959" s="540"/>
      <c r="V959" s="540"/>
      <c r="W959" s="540"/>
      <c r="X959" s="540"/>
      <c r="Y959" s="540"/>
      <c r="Z959" s="540"/>
    </row>
    <row r="960" spans="1:26" ht="19">
      <c r="A960" s="631"/>
      <c r="B960" s="631"/>
      <c r="C960" s="631"/>
      <c r="D960" s="832"/>
      <c r="E960" s="631"/>
      <c r="F960" s="631"/>
      <c r="G960" s="631"/>
      <c r="H960" s="833"/>
      <c r="I960" s="834"/>
      <c r="J960" s="834"/>
      <c r="K960" s="835"/>
      <c r="L960" s="835"/>
      <c r="M960" s="835"/>
      <c r="N960" s="835"/>
      <c r="O960" s="835"/>
      <c r="P960" s="835"/>
      <c r="Q960" s="540"/>
      <c r="R960" s="540"/>
      <c r="S960" s="540"/>
      <c r="T960" s="540"/>
      <c r="U960" s="540"/>
      <c r="V960" s="540"/>
      <c r="W960" s="540"/>
      <c r="X960" s="540"/>
      <c r="Y960" s="540"/>
      <c r="Z960" s="540"/>
    </row>
    <row r="961" spans="1:26" ht="19">
      <c r="A961" s="631"/>
      <c r="B961" s="631"/>
      <c r="C961" s="631"/>
      <c r="D961" s="832"/>
      <c r="E961" s="631"/>
      <c r="F961" s="631"/>
      <c r="G961" s="631"/>
      <c r="H961" s="833"/>
      <c r="I961" s="834"/>
      <c r="J961" s="834"/>
      <c r="K961" s="835"/>
      <c r="L961" s="835"/>
      <c r="M961" s="835"/>
      <c r="N961" s="835"/>
      <c r="O961" s="835"/>
      <c r="P961" s="835"/>
      <c r="Q961" s="540"/>
      <c r="R961" s="540"/>
      <c r="S961" s="540"/>
      <c r="T961" s="540"/>
      <c r="U961" s="540"/>
      <c r="V961" s="540"/>
      <c r="W961" s="540"/>
      <c r="X961" s="540"/>
      <c r="Y961" s="540"/>
      <c r="Z961" s="540"/>
    </row>
    <row r="962" spans="1:26" ht="19">
      <c r="A962" s="631"/>
      <c r="B962" s="631"/>
      <c r="C962" s="631"/>
      <c r="D962" s="832"/>
      <c r="E962" s="631"/>
      <c r="F962" s="631"/>
      <c r="G962" s="631"/>
      <c r="H962" s="833"/>
      <c r="I962" s="834"/>
      <c r="J962" s="834"/>
      <c r="K962" s="835"/>
      <c r="L962" s="835"/>
      <c r="M962" s="835"/>
      <c r="N962" s="835"/>
      <c r="O962" s="835"/>
      <c r="P962" s="835"/>
      <c r="Q962" s="540"/>
      <c r="R962" s="540"/>
      <c r="S962" s="540"/>
      <c r="T962" s="540"/>
      <c r="U962" s="540"/>
      <c r="V962" s="540"/>
      <c r="W962" s="540"/>
      <c r="X962" s="540"/>
      <c r="Y962" s="540"/>
      <c r="Z962" s="540"/>
    </row>
    <row r="963" spans="1:26" ht="19">
      <c r="A963" s="631"/>
      <c r="B963" s="631"/>
      <c r="C963" s="631"/>
      <c r="D963" s="832"/>
      <c r="E963" s="631"/>
      <c r="F963" s="631"/>
      <c r="G963" s="631"/>
      <c r="H963" s="833"/>
      <c r="I963" s="834"/>
      <c r="J963" s="834"/>
      <c r="K963" s="835"/>
      <c r="L963" s="835"/>
      <c r="M963" s="835"/>
      <c r="N963" s="835"/>
      <c r="O963" s="835"/>
      <c r="P963" s="835"/>
      <c r="Q963" s="540"/>
      <c r="R963" s="540"/>
      <c r="S963" s="540"/>
      <c r="T963" s="540"/>
      <c r="U963" s="540"/>
      <c r="V963" s="540"/>
      <c r="W963" s="540"/>
      <c r="X963" s="540"/>
      <c r="Y963" s="540"/>
      <c r="Z963" s="540"/>
    </row>
    <row r="964" spans="1:26" ht="19">
      <c r="A964" s="631"/>
      <c r="B964" s="631"/>
      <c r="C964" s="631"/>
      <c r="D964" s="832"/>
      <c r="E964" s="631"/>
      <c r="F964" s="631"/>
      <c r="G964" s="631"/>
      <c r="H964" s="833"/>
      <c r="I964" s="834"/>
      <c r="J964" s="834"/>
      <c r="K964" s="835"/>
      <c r="L964" s="835"/>
      <c r="M964" s="835"/>
      <c r="N964" s="835"/>
      <c r="O964" s="835"/>
      <c r="P964" s="835"/>
      <c r="Q964" s="540"/>
      <c r="R964" s="540"/>
      <c r="S964" s="540"/>
      <c r="T964" s="540"/>
      <c r="U964" s="540"/>
      <c r="V964" s="540"/>
      <c r="W964" s="540"/>
      <c r="X964" s="540"/>
      <c r="Y964" s="540"/>
      <c r="Z964" s="540"/>
    </row>
    <row r="965" spans="1:26" ht="19">
      <c r="A965" s="631"/>
      <c r="B965" s="631"/>
      <c r="C965" s="631"/>
      <c r="D965" s="832"/>
      <c r="E965" s="631"/>
      <c r="F965" s="631"/>
      <c r="G965" s="631"/>
      <c r="H965" s="833"/>
      <c r="I965" s="834"/>
      <c r="J965" s="834"/>
      <c r="K965" s="835"/>
      <c r="L965" s="835"/>
      <c r="M965" s="835"/>
      <c r="N965" s="835"/>
      <c r="O965" s="835"/>
      <c r="P965" s="835"/>
      <c r="Q965" s="540"/>
      <c r="R965" s="540"/>
      <c r="S965" s="540"/>
      <c r="T965" s="540"/>
      <c r="U965" s="540"/>
      <c r="V965" s="540"/>
      <c r="W965" s="540"/>
      <c r="X965" s="540"/>
      <c r="Y965" s="540"/>
      <c r="Z965" s="540"/>
    </row>
    <row r="966" spans="1:26" ht="19">
      <c r="A966" s="631"/>
      <c r="B966" s="631"/>
      <c r="C966" s="631"/>
      <c r="D966" s="832"/>
      <c r="E966" s="631"/>
      <c r="F966" s="631"/>
      <c r="G966" s="631"/>
      <c r="H966" s="833"/>
      <c r="I966" s="834"/>
      <c r="J966" s="834"/>
      <c r="K966" s="835"/>
      <c r="L966" s="835"/>
      <c r="M966" s="835"/>
      <c r="N966" s="835"/>
      <c r="O966" s="835"/>
      <c r="P966" s="835"/>
      <c r="Q966" s="540"/>
      <c r="R966" s="540"/>
      <c r="S966" s="540"/>
      <c r="T966" s="540"/>
      <c r="U966" s="540"/>
      <c r="V966" s="540"/>
      <c r="W966" s="540"/>
      <c r="X966" s="540"/>
      <c r="Y966" s="540"/>
      <c r="Z966" s="540"/>
    </row>
    <row r="967" spans="1:26" ht="19">
      <c r="A967" s="631"/>
      <c r="B967" s="631"/>
      <c r="C967" s="631"/>
      <c r="D967" s="832"/>
      <c r="E967" s="631"/>
      <c r="F967" s="631"/>
      <c r="G967" s="631"/>
      <c r="H967" s="833"/>
      <c r="I967" s="834"/>
      <c r="J967" s="834"/>
      <c r="K967" s="835"/>
      <c r="L967" s="835"/>
      <c r="M967" s="835"/>
      <c r="N967" s="835"/>
      <c r="O967" s="835"/>
      <c r="P967" s="835"/>
      <c r="Q967" s="540"/>
      <c r="R967" s="540"/>
      <c r="S967" s="540"/>
      <c r="T967" s="540"/>
      <c r="U967" s="540"/>
      <c r="V967" s="540"/>
      <c r="W967" s="540"/>
      <c r="X967" s="540"/>
      <c r="Y967" s="540"/>
      <c r="Z967" s="540"/>
    </row>
    <row r="968" spans="1:26" ht="19">
      <c r="A968" s="631"/>
      <c r="B968" s="631"/>
      <c r="C968" s="631"/>
      <c r="D968" s="832"/>
      <c r="E968" s="631"/>
      <c r="F968" s="631"/>
      <c r="G968" s="631"/>
      <c r="H968" s="833"/>
      <c r="I968" s="834"/>
      <c r="J968" s="834"/>
      <c r="K968" s="835"/>
      <c r="L968" s="835"/>
      <c r="M968" s="835"/>
      <c r="N968" s="835"/>
      <c r="O968" s="835"/>
      <c r="P968" s="835"/>
      <c r="Q968" s="540"/>
      <c r="R968" s="540"/>
      <c r="S968" s="540"/>
      <c r="T968" s="540"/>
      <c r="U968" s="540"/>
      <c r="V968" s="540"/>
      <c r="W968" s="540"/>
      <c r="X968" s="540"/>
      <c r="Y968" s="540"/>
      <c r="Z968" s="540"/>
    </row>
    <row r="969" spans="1:26" ht="19">
      <c r="A969" s="631"/>
      <c r="B969" s="631"/>
      <c r="C969" s="631"/>
      <c r="D969" s="832"/>
      <c r="E969" s="631"/>
      <c r="F969" s="631"/>
      <c r="G969" s="631"/>
      <c r="H969" s="833"/>
      <c r="I969" s="834"/>
      <c r="J969" s="834"/>
      <c r="K969" s="835"/>
      <c r="L969" s="835"/>
      <c r="M969" s="835"/>
      <c r="N969" s="835"/>
      <c r="O969" s="835"/>
      <c r="P969" s="835"/>
      <c r="Q969" s="540"/>
      <c r="R969" s="540"/>
      <c r="S969" s="540"/>
      <c r="T969" s="540"/>
      <c r="U969" s="540"/>
      <c r="V969" s="540"/>
      <c r="W969" s="540"/>
      <c r="X969" s="540"/>
      <c r="Y969" s="540"/>
      <c r="Z969" s="540"/>
    </row>
    <row r="970" spans="1:26" ht="19">
      <c r="A970" s="631"/>
      <c r="B970" s="631"/>
      <c r="C970" s="631"/>
      <c r="D970" s="832"/>
      <c r="E970" s="631"/>
      <c r="F970" s="631"/>
      <c r="G970" s="631"/>
      <c r="H970" s="833"/>
      <c r="I970" s="834"/>
      <c r="J970" s="834"/>
      <c r="K970" s="835"/>
      <c r="L970" s="835"/>
      <c r="M970" s="835"/>
      <c r="N970" s="835"/>
      <c r="O970" s="835"/>
      <c r="P970" s="835"/>
      <c r="Q970" s="540"/>
      <c r="R970" s="540"/>
      <c r="S970" s="540"/>
      <c r="T970" s="540"/>
      <c r="U970" s="540"/>
      <c r="V970" s="540"/>
      <c r="W970" s="540"/>
      <c r="X970" s="540"/>
      <c r="Y970" s="540"/>
      <c r="Z970" s="540"/>
    </row>
    <row r="971" spans="1:26" ht="19">
      <c r="A971" s="631"/>
      <c r="B971" s="631"/>
      <c r="C971" s="631"/>
      <c r="D971" s="832"/>
      <c r="E971" s="631"/>
      <c r="F971" s="631"/>
      <c r="G971" s="631"/>
      <c r="H971" s="833"/>
      <c r="I971" s="834"/>
      <c r="J971" s="834"/>
      <c r="K971" s="835"/>
      <c r="L971" s="835"/>
      <c r="M971" s="835"/>
      <c r="N971" s="835"/>
      <c r="O971" s="835"/>
      <c r="P971" s="835"/>
      <c r="Q971" s="540"/>
      <c r="R971" s="540"/>
      <c r="S971" s="540"/>
      <c r="T971" s="540"/>
      <c r="U971" s="540"/>
      <c r="V971" s="540"/>
      <c r="W971" s="540"/>
      <c r="X971" s="540"/>
      <c r="Y971" s="540"/>
      <c r="Z971" s="540"/>
    </row>
    <row r="972" spans="1:26" ht="19">
      <c r="A972" s="631"/>
      <c r="B972" s="631"/>
      <c r="C972" s="631"/>
      <c r="D972" s="832"/>
      <c r="E972" s="631"/>
      <c r="F972" s="631"/>
      <c r="G972" s="631"/>
      <c r="H972" s="833"/>
      <c r="I972" s="834"/>
      <c r="J972" s="834"/>
      <c r="K972" s="835"/>
      <c r="L972" s="835"/>
      <c r="M972" s="835"/>
      <c r="N972" s="835"/>
      <c r="O972" s="835"/>
      <c r="P972" s="835"/>
      <c r="Q972" s="540"/>
      <c r="R972" s="540"/>
      <c r="S972" s="540"/>
      <c r="T972" s="540"/>
      <c r="U972" s="540"/>
      <c r="V972" s="540"/>
      <c r="W972" s="540"/>
      <c r="X972" s="540"/>
      <c r="Y972" s="540"/>
      <c r="Z972" s="540"/>
    </row>
    <row r="973" spans="1:26" ht="19">
      <c r="A973" s="631"/>
      <c r="B973" s="631"/>
      <c r="C973" s="631"/>
      <c r="D973" s="832"/>
      <c r="E973" s="631"/>
      <c r="F973" s="631"/>
      <c r="G973" s="631"/>
      <c r="H973" s="833"/>
      <c r="I973" s="834"/>
      <c r="J973" s="834"/>
      <c r="K973" s="835"/>
      <c r="L973" s="835"/>
      <c r="M973" s="835"/>
      <c r="N973" s="835"/>
      <c r="O973" s="835"/>
      <c r="P973" s="835"/>
      <c r="Q973" s="540"/>
      <c r="R973" s="540"/>
      <c r="S973" s="540"/>
      <c r="T973" s="540"/>
      <c r="U973" s="540"/>
      <c r="V973" s="540"/>
      <c r="W973" s="540"/>
      <c r="X973" s="540"/>
      <c r="Y973" s="540"/>
      <c r="Z973" s="540"/>
    </row>
    <row r="974" spans="1:26" ht="19">
      <c r="A974" s="631"/>
      <c r="B974" s="631"/>
      <c r="C974" s="631"/>
      <c r="D974" s="832"/>
      <c r="E974" s="631"/>
      <c r="F974" s="631"/>
      <c r="G974" s="631"/>
      <c r="H974" s="833"/>
      <c r="I974" s="834"/>
      <c r="J974" s="834"/>
      <c r="K974" s="835"/>
      <c r="L974" s="835"/>
      <c r="M974" s="835"/>
      <c r="N974" s="835"/>
      <c r="O974" s="835"/>
      <c r="P974" s="835"/>
      <c r="Q974" s="540"/>
      <c r="R974" s="540"/>
      <c r="S974" s="540"/>
      <c r="T974" s="540"/>
      <c r="U974" s="540"/>
      <c r="V974" s="540"/>
      <c r="W974" s="540"/>
      <c r="X974" s="540"/>
      <c r="Y974" s="540"/>
      <c r="Z974" s="540"/>
    </row>
    <row r="975" spans="1:26" ht="19">
      <c r="A975" s="631"/>
      <c r="B975" s="631"/>
      <c r="C975" s="631"/>
      <c r="D975" s="832"/>
      <c r="E975" s="631"/>
      <c r="F975" s="631"/>
      <c r="G975" s="631"/>
      <c r="H975" s="833"/>
      <c r="I975" s="834"/>
      <c r="J975" s="834"/>
      <c r="K975" s="835"/>
      <c r="L975" s="835"/>
      <c r="M975" s="835"/>
      <c r="N975" s="835"/>
      <c r="O975" s="835"/>
      <c r="P975" s="835"/>
      <c r="Q975" s="540"/>
      <c r="R975" s="540"/>
      <c r="S975" s="540"/>
      <c r="T975" s="540"/>
      <c r="U975" s="540"/>
      <c r="V975" s="540"/>
      <c r="W975" s="540"/>
      <c r="X975" s="540"/>
      <c r="Y975" s="540"/>
      <c r="Z975" s="540"/>
    </row>
    <row r="976" spans="1:26" ht="19">
      <c r="A976" s="631"/>
      <c r="B976" s="631"/>
      <c r="C976" s="631"/>
      <c r="D976" s="832"/>
      <c r="E976" s="631"/>
      <c r="F976" s="631"/>
      <c r="G976" s="631"/>
      <c r="H976" s="833"/>
      <c r="I976" s="834"/>
      <c r="J976" s="834"/>
      <c r="K976" s="835"/>
      <c r="L976" s="835"/>
      <c r="M976" s="835"/>
      <c r="N976" s="835"/>
      <c r="O976" s="835"/>
      <c r="P976" s="835"/>
      <c r="Q976" s="540"/>
      <c r="R976" s="540"/>
      <c r="S976" s="540"/>
      <c r="T976" s="540"/>
      <c r="U976" s="540"/>
      <c r="V976" s="540"/>
      <c r="W976" s="540"/>
      <c r="X976" s="540"/>
      <c r="Y976" s="540"/>
      <c r="Z976" s="540"/>
    </row>
    <row r="977" spans="1:26" ht="19">
      <c r="A977" s="631"/>
      <c r="B977" s="631"/>
      <c r="C977" s="631"/>
      <c r="D977" s="832"/>
      <c r="E977" s="631"/>
      <c r="F977" s="631"/>
      <c r="G977" s="631"/>
      <c r="H977" s="833"/>
      <c r="I977" s="834"/>
      <c r="J977" s="834"/>
      <c r="K977" s="835"/>
      <c r="L977" s="835"/>
      <c r="M977" s="835"/>
      <c r="N977" s="835"/>
      <c r="O977" s="835"/>
      <c r="P977" s="835"/>
      <c r="Q977" s="540"/>
      <c r="R977" s="540"/>
      <c r="S977" s="540"/>
      <c r="T977" s="540"/>
      <c r="U977" s="540"/>
      <c r="V977" s="540"/>
      <c r="W977" s="540"/>
      <c r="X977" s="540"/>
      <c r="Y977" s="540"/>
      <c r="Z977" s="540"/>
    </row>
    <row r="978" spans="1:26" ht="19">
      <c r="A978" s="631"/>
      <c r="B978" s="631"/>
      <c r="C978" s="631"/>
      <c r="D978" s="832"/>
      <c r="E978" s="631"/>
      <c r="F978" s="631"/>
      <c r="G978" s="631"/>
      <c r="H978" s="833"/>
      <c r="I978" s="834"/>
      <c r="J978" s="834"/>
      <c r="K978" s="835"/>
      <c r="L978" s="835"/>
      <c r="M978" s="835"/>
      <c r="N978" s="835"/>
      <c r="O978" s="835"/>
      <c r="P978" s="835"/>
      <c r="Q978" s="540"/>
      <c r="R978" s="540"/>
      <c r="S978" s="540"/>
      <c r="T978" s="540"/>
      <c r="U978" s="540"/>
      <c r="V978" s="540"/>
      <c r="W978" s="540"/>
      <c r="X978" s="540"/>
      <c r="Y978" s="540"/>
      <c r="Z978" s="540"/>
    </row>
    <row r="979" spans="1:26" ht="19">
      <c r="A979" s="631"/>
      <c r="B979" s="631"/>
      <c r="C979" s="631"/>
      <c r="D979" s="832"/>
      <c r="E979" s="631"/>
      <c r="F979" s="631"/>
      <c r="G979" s="631"/>
      <c r="H979" s="833"/>
      <c r="I979" s="834"/>
      <c r="J979" s="834"/>
      <c r="K979" s="835"/>
      <c r="L979" s="835"/>
      <c r="M979" s="835"/>
      <c r="N979" s="835"/>
      <c r="O979" s="835"/>
      <c r="P979" s="835"/>
      <c r="Q979" s="540"/>
      <c r="R979" s="540"/>
      <c r="S979" s="540"/>
      <c r="T979" s="540"/>
      <c r="U979" s="540"/>
      <c r="V979" s="540"/>
      <c r="W979" s="540"/>
      <c r="X979" s="540"/>
      <c r="Y979" s="540"/>
      <c r="Z979" s="540"/>
    </row>
    <row r="980" spans="1:26" ht="19">
      <c r="A980" s="631"/>
      <c r="B980" s="631"/>
      <c r="C980" s="631"/>
      <c r="D980" s="832"/>
      <c r="E980" s="631"/>
      <c r="F980" s="631"/>
      <c r="G980" s="631"/>
      <c r="H980" s="833"/>
      <c r="I980" s="834"/>
      <c r="J980" s="834"/>
      <c r="K980" s="835"/>
      <c r="L980" s="835"/>
      <c r="M980" s="835"/>
      <c r="N980" s="835"/>
      <c r="O980" s="835"/>
      <c r="P980" s="835"/>
      <c r="Q980" s="540"/>
      <c r="R980" s="540"/>
      <c r="S980" s="540"/>
      <c r="T980" s="540"/>
      <c r="U980" s="540"/>
      <c r="V980" s="540"/>
      <c r="W980" s="540"/>
      <c r="X980" s="540"/>
      <c r="Y980" s="540"/>
      <c r="Z980" s="540"/>
    </row>
    <row r="981" spans="1:26" ht="19">
      <c r="A981" s="631"/>
      <c r="B981" s="631"/>
      <c r="C981" s="631"/>
      <c r="D981" s="832"/>
      <c r="E981" s="631"/>
      <c r="F981" s="631"/>
      <c r="G981" s="631"/>
      <c r="H981" s="833"/>
      <c r="I981" s="834"/>
      <c r="J981" s="834"/>
      <c r="K981" s="835"/>
      <c r="L981" s="835"/>
      <c r="M981" s="835"/>
      <c r="N981" s="835"/>
      <c r="O981" s="835"/>
      <c r="P981" s="835"/>
      <c r="Q981" s="540"/>
      <c r="R981" s="540"/>
      <c r="S981" s="540"/>
      <c r="T981" s="540"/>
      <c r="U981" s="540"/>
      <c r="V981" s="540"/>
      <c r="W981" s="540"/>
      <c r="X981" s="540"/>
      <c r="Y981" s="540"/>
      <c r="Z981" s="540"/>
    </row>
    <row r="982" spans="1:26" ht="19">
      <c r="A982" s="631"/>
      <c r="B982" s="631"/>
      <c r="C982" s="631"/>
      <c r="D982" s="832"/>
      <c r="E982" s="631"/>
      <c r="F982" s="631"/>
      <c r="G982" s="631"/>
      <c r="H982" s="833"/>
      <c r="I982" s="834"/>
      <c r="J982" s="834"/>
      <c r="K982" s="835"/>
      <c r="L982" s="835"/>
      <c r="M982" s="835"/>
      <c r="N982" s="835"/>
      <c r="O982" s="835"/>
      <c r="P982" s="835"/>
      <c r="Q982" s="540"/>
      <c r="R982" s="540"/>
      <c r="S982" s="540"/>
      <c r="T982" s="540"/>
      <c r="U982" s="540"/>
      <c r="V982" s="540"/>
      <c r="W982" s="540"/>
      <c r="X982" s="540"/>
      <c r="Y982" s="540"/>
      <c r="Z982" s="540"/>
    </row>
    <row r="983" spans="1:26" ht="19">
      <c r="A983" s="631"/>
      <c r="B983" s="631"/>
      <c r="C983" s="631"/>
      <c r="D983" s="832"/>
      <c r="E983" s="631"/>
      <c r="F983" s="631"/>
      <c r="G983" s="631"/>
      <c r="H983" s="833"/>
      <c r="I983" s="834"/>
      <c r="J983" s="834"/>
      <c r="K983" s="835"/>
      <c r="L983" s="835"/>
      <c r="M983" s="835"/>
      <c r="N983" s="835"/>
      <c r="O983" s="835"/>
      <c r="P983" s="835"/>
      <c r="Q983" s="540"/>
      <c r="R983" s="540"/>
      <c r="S983" s="540"/>
      <c r="T983" s="540"/>
      <c r="U983" s="540"/>
      <c r="V983" s="540"/>
      <c r="W983" s="540"/>
      <c r="X983" s="540"/>
      <c r="Y983" s="540"/>
      <c r="Z983" s="540"/>
    </row>
    <row r="984" spans="1:26" ht="19">
      <c r="A984" s="631"/>
      <c r="B984" s="631"/>
      <c r="C984" s="631"/>
      <c r="D984" s="832"/>
      <c r="E984" s="631"/>
      <c r="F984" s="631"/>
      <c r="G984" s="631"/>
      <c r="H984" s="833"/>
      <c r="I984" s="834"/>
      <c r="J984" s="834"/>
      <c r="K984" s="835"/>
      <c r="L984" s="835"/>
      <c r="M984" s="835"/>
      <c r="N984" s="835"/>
      <c r="O984" s="835"/>
      <c r="P984" s="835"/>
      <c r="Q984" s="540"/>
      <c r="R984" s="540"/>
      <c r="S984" s="540"/>
      <c r="T984" s="540"/>
      <c r="U984" s="540"/>
      <c r="V984" s="540"/>
      <c r="W984" s="540"/>
      <c r="X984" s="540"/>
      <c r="Y984" s="540"/>
      <c r="Z984" s="540"/>
    </row>
    <row r="985" spans="1:26" ht="19">
      <c r="A985" s="631"/>
      <c r="B985" s="631"/>
      <c r="C985" s="631"/>
      <c r="D985" s="832"/>
      <c r="E985" s="631"/>
      <c r="F985" s="631"/>
      <c r="G985" s="631"/>
      <c r="H985" s="833"/>
      <c r="I985" s="834"/>
      <c r="J985" s="834"/>
      <c r="K985" s="835"/>
      <c r="L985" s="835"/>
      <c r="M985" s="835"/>
      <c r="N985" s="835"/>
      <c r="O985" s="835"/>
      <c r="P985" s="835"/>
      <c r="Q985" s="540"/>
      <c r="R985" s="540"/>
      <c r="S985" s="540"/>
      <c r="T985" s="540"/>
      <c r="U985" s="540"/>
      <c r="V985" s="540"/>
      <c r="W985" s="540"/>
      <c r="X985" s="540"/>
      <c r="Y985" s="540"/>
      <c r="Z985" s="540"/>
    </row>
    <row r="986" spans="1:26" ht="19">
      <c r="A986" s="631"/>
      <c r="B986" s="631"/>
      <c r="C986" s="631"/>
      <c r="D986" s="832"/>
      <c r="E986" s="631"/>
      <c r="F986" s="631"/>
      <c r="G986" s="631"/>
      <c r="H986" s="833"/>
      <c r="I986" s="834"/>
      <c r="J986" s="834"/>
      <c r="K986" s="835"/>
      <c r="L986" s="835"/>
      <c r="M986" s="835"/>
      <c r="N986" s="835"/>
      <c r="O986" s="835"/>
      <c r="P986" s="835"/>
      <c r="Q986" s="540"/>
      <c r="R986" s="540"/>
      <c r="S986" s="540"/>
      <c r="T986" s="540"/>
      <c r="U986" s="540"/>
      <c r="V986" s="540"/>
      <c r="W986" s="540"/>
      <c r="X986" s="540"/>
      <c r="Y986" s="540"/>
      <c r="Z986" s="540"/>
    </row>
    <row r="987" spans="1:26" ht="19">
      <c r="A987" s="631"/>
      <c r="B987" s="631"/>
      <c r="C987" s="631"/>
      <c r="D987" s="832"/>
      <c r="E987" s="631"/>
      <c r="F987" s="631"/>
      <c r="G987" s="631"/>
      <c r="H987" s="833"/>
      <c r="I987" s="834"/>
      <c r="J987" s="834"/>
      <c r="K987" s="835"/>
      <c r="L987" s="835"/>
      <c r="M987" s="835"/>
      <c r="N987" s="835"/>
      <c r="O987" s="835"/>
      <c r="P987" s="835"/>
      <c r="Q987" s="540"/>
      <c r="R987" s="540"/>
      <c r="S987" s="540"/>
      <c r="T987" s="540"/>
      <c r="U987" s="540"/>
      <c r="V987" s="540"/>
      <c r="W987" s="540"/>
      <c r="X987" s="540"/>
      <c r="Y987" s="540"/>
      <c r="Z987" s="540"/>
    </row>
    <row r="988" spans="1:26" ht="19">
      <c r="A988" s="631"/>
      <c r="B988" s="631"/>
      <c r="C988" s="631"/>
      <c r="D988" s="832"/>
      <c r="E988" s="631"/>
      <c r="F988" s="631"/>
      <c r="G988" s="631"/>
      <c r="H988" s="833"/>
      <c r="I988" s="834"/>
      <c r="J988" s="834"/>
      <c r="K988" s="835"/>
      <c r="L988" s="835"/>
      <c r="M988" s="835"/>
      <c r="N988" s="835"/>
      <c r="O988" s="835"/>
      <c r="P988" s="835"/>
      <c r="Q988" s="540"/>
      <c r="R988" s="540"/>
      <c r="S988" s="540"/>
      <c r="T988" s="540"/>
      <c r="U988" s="540"/>
      <c r="V988" s="540"/>
      <c r="W988" s="540"/>
      <c r="X988" s="540"/>
      <c r="Y988" s="540"/>
      <c r="Z988" s="540"/>
    </row>
    <row r="989" spans="1:26" ht="19">
      <c r="A989" s="631"/>
      <c r="B989" s="631"/>
      <c r="C989" s="631"/>
      <c r="D989" s="832"/>
      <c r="E989" s="631"/>
      <c r="F989" s="631"/>
      <c r="G989" s="631"/>
      <c r="H989" s="833"/>
      <c r="I989" s="834"/>
      <c r="J989" s="834"/>
      <c r="K989" s="835"/>
      <c r="L989" s="835"/>
      <c r="M989" s="835"/>
      <c r="N989" s="835"/>
      <c r="O989" s="835"/>
      <c r="P989" s="835"/>
      <c r="Q989" s="540"/>
      <c r="R989" s="540"/>
      <c r="S989" s="540"/>
      <c r="T989" s="540"/>
      <c r="U989" s="540"/>
      <c r="V989" s="540"/>
      <c r="W989" s="540"/>
      <c r="X989" s="540"/>
      <c r="Y989" s="540"/>
      <c r="Z989" s="540"/>
    </row>
    <row r="990" spans="1:26" ht="19">
      <c r="A990" s="631"/>
      <c r="B990" s="631"/>
      <c r="C990" s="631"/>
      <c r="D990" s="832"/>
      <c r="E990" s="631"/>
      <c r="F990" s="631"/>
      <c r="G990" s="631"/>
      <c r="H990" s="833"/>
      <c r="I990" s="834"/>
      <c r="J990" s="834"/>
      <c r="K990" s="835"/>
      <c r="L990" s="835"/>
      <c r="M990" s="835"/>
      <c r="N990" s="835"/>
      <c r="O990" s="835"/>
      <c r="P990" s="835"/>
      <c r="Q990" s="540"/>
      <c r="R990" s="540"/>
      <c r="S990" s="540"/>
      <c r="T990" s="540"/>
      <c r="U990" s="540"/>
      <c r="V990" s="540"/>
      <c r="W990" s="540"/>
      <c r="X990" s="540"/>
      <c r="Y990" s="540"/>
      <c r="Z990" s="540"/>
    </row>
    <row r="991" spans="1:26" ht="19">
      <c r="A991" s="631"/>
      <c r="B991" s="631"/>
      <c r="C991" s="631"/>
      <c r="D991" s="832"/>
      <c r="E991" s="631"/>
      <c r="F991" s="631"/>
      <c r="G991" s="631"/>
      <c r="H991" s="833"/>
      <c r="I991" s="834"/>
      <c r="J991" s="834"/>
      <c r="K991" s="835"/>
      <c r="L991" s="835"/>
      <c r="M991" s="835"/>
      <c r="N991" s="835"/>
      <c r="O991" s="835"/>
      <c r="P991" s="835"/>
      <c r="Q991" s="540"/>
      <c r="R991" s="540"/>
      <c r="S991" s="540"/>
      <c r="T991" s="540"/>
      <c r="U991" s="540"/>
      <c r="V991" s="540"/>
      <c r="W991" s="540"/>
      <c r="X991" s="540"/>
      <c r="Y991" s="540"/>
      <c r="Z991" s="540"/>
    </row>
    <row r="992" spans="1:26" ht="19">
      <c r="A992" s="631"/>
      <c r="B992" s="631"/>
      <c r="C992" s="631"/>
      <c r="D992" s="832"/>
      <c r="E992" s="631"/>
      <c r="F992" s="631"/>
      <c r="G992" s="631"/>
      <c r="H992" s="833"/>
      <c r="I992" s="834"/>
      <c r="J992" s="834"/>
      <c r="K992" s="835"/>
      <c r="L992" s="835"/>
      <c r="M992" s="835"/>
      <c r="N992" s="835"/>
      <c r="O992" s="835"/>
      <c r="P992" s="835"/>
      <c r="Q992" s="540"/>
      <c r="R992" s="540"/>
      <c r="S992" s="540"/>
      <c r="T992" s="540"/>
      <c r="U992" s="540"/>
      <c r="V992" s="540"/>
      <c r="W992" s="540"/>
      <c r="X992" s="540"/>
      <c r="Y992" s="540"/>
      <c r="Z992" s="540"/>
    </row>
    <row r="993" spans="1:26" ht="19">
      <c r="A993" s="631"/>
      <c r="B993" s="631"/>
      <c r="C993" s="631"/>
      <c r="D993" s="832"/>
      <c r="E993" s="631"/>
      <c r="F993" s="631"/>
      <c r="G993" s="631"/>
      <c r="H993" s="833"/>
      <c r="I993" s="834"/>
      <c r="J993" s="834"/>
      <c r="K993" s="835"/>
      <c r="L993" s="835"/>
      <c r="M993" s="835"/>
      <c r="N993" s="835"/>
      <c r="O993" s="835"/>
      <c r="P993" s="835"/>
      <c r="Q993" s="540"/>
      <c r="R993" s="540"/>
      <c r="S993" s="540"/>
      <c r="T993" s="540"/>
      <c r="U993" s="540"/>
      <c r="V993" s="540"/>
      <c r="W993" s="540"/>
      <c r="X993" s="540"/>
      <c r="Y993" s="540"/>
      <c r="Z993" s="540"/>
    </row>
    <row r="994" spans="1:26" ht="19">
      <c r="A994" s="631"/>
      <c r="B994" s="631"/>
      <c r="C994" s="631"/>
      <c r="D994" s="832"/>
      <c r="E994" s="631"/>
      <c r="F994" s="631"/>
      <c r="G994" s="631"/>
      <c r="H994" s="833"/>
      <c r="I994" s="834"/>
      <c r="J994" s="834"/>
      <c r="K994" s="835"/>
      <c r="L994" s="835"/>
      <c r="M994" s="835"/>
      <c r="N994" s="835"/>
      <c r="O994" s="835"/>
      <c r="P994" s="835"/>
      <c r="Q994" s="540"/>
      <c r="R994" s="540"/>
      <c r="S994" s="540"/>
      <c r="T994" s="540"/>
      <c r="U994" s="540"/>
      <c r="V994" s="540"/>
      <c r="W994" s="540"/>
      <c r="X994" s="540"/>
      <c r="Y994" s="540"/>
      <c r="Z994" s="540"/>
    </row>
    <row r="995" spans="1:26" ht="19">
      <c r="A995" s="631"/>
      <c r="B995" s="631"/>
      <c r="C995" s="631"/>
      <c r="D995" s="832"/>
      <c r="E995" s="631"/>
      <c r="F995" s="631"/>
      <c r="G995" s="631"/>
      <c r="H995" s="833"/>
      <c r="I995" s="834"/>
      <c r="J995" s="834"/>
      <c r="K995" s="835"/>
      <c r="L995" s="835"/>
      <c r="M995" s="835"/>
      <c r="N995" s="835"/>
      <c r="O995" s="835"/>
      <c r="P995" s="835"/>
      <c r="Q995" s="540"/>
      <c r="R995" s="540"/>
      <c r="S995" s="540"/>
      <c r="T995" s="540"/>
      <c r="U995" s="540"/>
      <c r="V995" s="540"/>
      <c r="W995" s="540"/>
      <c r="X995" s="540"/>
      <c r="Y995" s="540"/>
      <c r="Z995" s="540"/>
    </row>
    <row r="996" spans="1:26" ht="19">
      <c r="A996" s="631"/>
      <c r="B996" s="631"/>
      <c r="C996" s="631"/>
      <c r="D996" s="832"/>
      <c r="E996" s="631"/>
      <c r="F996" s="631"/>
      <c r="G996" s="631"/>
      <c r="H996" s="833"/>
      <c r="I996" s="834"/>
      <c r="J996" s="834"/>
      <c r="K996" s="835"/>
      <c r="L996" s="835"/>
      <c r="M996" s="835"/>
      <c r="N996" s="835"/>
      <c r="O996" s="835"/>
      <c r="P996" s="835"/>
      <c r="Q996" s="540"/>
      <c r="R996" s="540"/>
      <c r="S996" s="540"/>
      <c r="T996" s="540"/>
      <c r="U996" s="540"/>
      <c r="V996" s="540"/>
      <c r="W996" s="540"/>
      <c r="X996" s="540"/>
      <c r="Y996" s="540"/>
      <c r="Z996" s="540"/>
    </row>
    <row r="997" spans="1:26" ht="19">
      <c r="A997" s="631"/>
      <c r="B997" s="631"/>
      <c r="C997" s="631"/>
      <c r="D997" s="832"/>
      <c r="E997" s="631"/>
      <c r="F997" s="631"/>
      <c r="G997" s="631"/>
      <c r="H997" s="833"/>
      <c r="I997" s="834"/>
      <c r="J997" s="834"/>
      <c r="K997" s="835"/>
      <c r="L997" s="835"/>
      <c r="M997" s="835"/>
      <c r="N997" s="835"/>
      <c r="O997" s="835"/>
      <c r="P997" s="835"/>
      <c r="Q997" s="540"/>
      <c r="R997" s="540"/>
      <c r="S997" s="540"/>
      <c r="T997" s="540"/>
      <c r="U997" s="540"/>
      <c r="V997" s="540"/>
      <c r="W997" s="540"/>
      <c r="X997" s="540"/>
      <c r="Y997" s="540"/>
      <c r="Z997" s="540"/>
    </row>
    <row r="998" spans="1:26" ht="19">
      <c r="A998" s="631"/>
      <c r="B998" s="631"/>
      <c r="C998" s="631"/>
      <c r="D998" s="832"/>
      <c r="E998" s="631"/>
      <c r="F998" s="631"/>
      <c r="G998" s="631"/>
      <c r="H998" s="833"/>
      <c r="I998" s="834"/>
      <c r="J998" s="834"/>
      <c r="K998" s="835"/>
      <c r="L998" s="835"/>
      <c r="M998" s="835"/>
      <c r="N998" s="835"/>
      <c r="O998" s="835"/>
      <c r="P998" s="835"/>
      <c r="Q998" s="540"/>
      <c r="R998" s="540"/>
      <c r="S998" s="540"/>
      <c r="T998" s="540"/>
      <c r="U998" s="540"/>
      <c r="V998" s="540"/>
      <c r="W998" s="540"/>
      <c r="X998" s="540"/>
      <c r="Y998" s="540"/>
      <c r="Z998" s="540"/>
    </row>
    <row r="999" spans="1:26" ht="19">
      <c r="A999" s="631"/>
      <c r="B999" s="631"/>
      <c r="C999" s="631"/>
      <c r="D999" s="832"/>
      <c r="E999" s="631"/>
      <c r="F999" s="631"/>
      <c r="G999" s="631"/>
      <c r="H999" s="833"/>
      <c r="I999" s="834"/>
      <c r="J999" s="834"/>
      <c r="K999" s="835"/>
      <c r="L999" s="835"/>
      <c r="M999" s="835"/>
      <c r="N999" s="835"/>
      <c r="O999" s="835"/>
      <c r="P999" s="835"/>
      <c r="Q999" s="540"/>
      <c r="R999" s="540"/>
      <c r="S999" s="540"/>
      <c r="T999" s="540"/>
      <c r="U999" s="540"/>
      <c r="V999" s="540"/>
      <c r="W999" s="540"/>
      <c r="X999" s="540"/>
      <c r="Y999" s="540"/>
      <c r="Z999" s="540"/>
    </row>
    <row r="1000" spans="1:26" ht="19">
      <c r="A1000" s="631"/>
      <c r="B1000" s="631"/>
      <c r="C1000" s="631"/>
      <c r="D1000" s="832"/>
      <c r="E1000" s="631"/>
      <c r="F1000" s="631"/>
      <c r="G1000" s="631"/>
      <c r="H1000" s="833"/>
      <c r="I1000" s="834"/>
      <c r="J1000" s="834"/>
      <c r="K1000" s="835"/>
      <c r="L1000" s="835"/>
      <c r="M1000" s="835"/>
      <c r="N1000" s="835"/>
      <c r="O1000" s="835"/>
      <c r="P1000" s="835"/>
      <c r="Q1000" s="540"/>
      <c r="R1000" s="540"/>
      <c r="S1000" s="540"/>
      <c r="T1000" s="540"/>
      <c r="U1000" s="540"/>
      <c r="V1000" s="540"/>
      <c r="W1000" s="540"/>
      <c r="X1000" s="540"/>
      <c r="Y1000" s="540"/>
      <c r="Z1000" s="540"/>
    </row>
    <row r="1001" spans="1:26" ht="19">
      <c r="A1001" s="631"/>
      <c r="B1001" s="631"/>
      <c r="C1001" s="631"/>
      <c r="D1001" s="832"/>
      <c r="E1001" s="631"/>
      <c r="F1001" s="631"/>
      <c r="G1001" s="631"/>
      <c r="H1001" s="833"/>
      <c r="I1001" s="834"/>
      <c r="J1001" s="834"/>
      <c r="K1001" s="835"/>
      <c r="L1001" s="835"/>
      <c r="M1001" s="835"/>
      <c r="N1001" s="835"/>
      <c r="O1001" s="835"/>
      <c r="P1001" s="835"/>
      <c r="Q1001" s="540"/>
      <c r="R1001" s="540"/>
      <c r="S1001" s="540"/>
      <c r="T1001" s="540"/>
      <c r="U1001" s="540"/>
      <c r="V1001" s="540"/>
      <c r="W1001" s="540"/>
      <c r="X1001" s="540"/>
      <c r="Y1001" s="540"/>
      <c r="Z1001" s="540"/>
    </row>
    <row r="1002" spans="1:26" ht="19">
      <c r="A1002" s="631"/>
      <c r="B1002" s="631"/>
      <c r="C1002" s="631"/>
      <c r="D1002" s="832"/>
      <c r="E1002" s="631"/>
      <c r="F1002" s="631"/>
      <c r="G1002" s="631"/>
      <c r="H1002" s="833"/>
      <c r="I1002" s="834"/>
      <c r="J1002" s="834"/>
      <c r="K1002" s="835"/>
      <c r="L1002" s="835"/>
      <c r="M1002" s="835"/>
      <c r="N1002" s="835"/>
      <c r="O1002" s="835"/>
      <c r="P1002" s="835"/>
      <c r="Q1002" s="540"/>
      <c r="R1002" s="540"/>
      <c r="S1002" s="540"/>
      <c r="T1002" s="540"/>
      <c r="U1002" s="540"/>
      <c r="V1002" s="540"/>
      <c r="W1002" s="540"/>
      <c r="X1002" s="540"/>
      <c r="Y1002" s="540"/>
      <c r="Z1002" s="540"/>
    </row>
    <row r="1003" spans="1:26" ht="19">
      <c r="A1003" s="631"/>
      <c r="B1003" s="631"/>
      <c r="C1003" s="631"/>
      <c r="D1003" s="832"/>
      <c r="E1003" s="631"/>
      <c r="F1003" s="631"/>
      <c r="G1003" s="631"/>
      <c r="H1003" s="833"/>
      <c r="I1003" s="834"/>
      <c r="J1003" s="834"/>
      <c r="K1003" s="835"/>
      <c r="L1003" s="835"/>
      <c r="M1003" s="835"/>
      <c r="N1003" s="835"/>
      <c r="O1003" s="835"/>
      <c r="P1003" s="835"/>
      <c r="Q1003" s="540"/>
      <c r="R1003" s="540"/>
      <c r="S1003" s="540"/>
      <c r="T1003" s="540"/>
      <c r="U1003" s="540"/>
      <c r="V1003" s="540"/>
      <c r="W1003" s="540"/>
      <c r="X1003" s="540"/>
      <c r="Y1003" s="540"/>
      <c r="Z1003" s="540"/>
    </row>
    <row r="1004" spans="1:26" ht="19">
      <c r="A1004" s="631"/>
      <c r="B1004" s="631"/>
      <c r="C1004" s="631"/>
      <c r="D1004" s="832"/>
      <c r="E1004" s="631"/>
      <c r="F1004" s="631"/>
      <c r="G1004" s="631"/>
      <c r="H1004" s="833"/>
      <c r="I1004" s="834"/>
      <c r="J1004" s="834"/>
      <c r="K1004" s="835"/>
      <c r="L1004" s="835"/>
      <c r="M1004" s="835"/>
      <c r="N1004" s="835"/>
      <c r="O1004" s="835"/>
      <c r="P1004" s="835"/>
      <c r="Q1004" s="540"/>
      <c r="R1004" s="540"/>
      <c r="S1004" s="540"/>
      <c r="T1004" s="540"/>
      <c r="U1004" s="540"/>
      <c r="V1004" s="540"/>
      <c r="W1004" s="540"/>
      <c r="X1004" s="540"/>
      <c r="Y1004" s="540"/>
      <c r="Z1004" s="540"/>
    </row>
    <row r="1005" spans="1:26" ht="19">
      <c r="A1005" s="631"/>
      <c r="B1005" s="631"/>
      <c r="C1005" s="631"/>
      <c r="D1005" s="832"/>
      <c r="E1005" s="631"/>
      <c r="F1005" s="631"/>
      <c r="G1005" s="631"/>
      <c r="H1005" s="833"/>
      <c r="I1005" s="834"/>
      <c r="J1005" s="834"/>
      <c r="K1005" s="835"/>
      <c r="L1005" s="835"/>
      <c r="M1005" s="835"/>
      <c r="N1005" s="835"/>
      <c r="O1005" s="835"/>
      <c r="P1005" s="835"/>
      <c r="Q1005" s="540"/>
      <c r="R1005" s="540"/>
      <c r="S1005" s="540"/>
      <c r="T1005" s="540"/>
      <c r="U1005" s="540"/>
      <c r="V1005" s="540"/>
      <c r="W1005" s="540"/>
      <c r="X1005" s="540"/>
      <c r="Y1005" s="540"/>
      <c r="Z1005" s="540"/>
    </row>
    <row r="1006" spans="1:26" ht="19">
      <c r="A1006" s="631"/>
      <c r="B1006" s="631"/>
      <c r="C1006" s="631"/>
      <c r="D1006" s="832"/>
      <c r="E1006" s="631"/>
      <c r="F1006" s="631"/>
      <c r="G1006" s="631"/>
      <c r="H1006" s="833"/>
      <c r="I1006" s="834"/>
      <c r="J1006" s="834"/>
      <c r="K1006" s="835"/>
      <c r="L1006" s="835"/>
      <c r="M1006" s="835"/>
      <c r="N1006" s="835"/>
      <c r="O1006" s="835"/>
      <c r="P1006" s="835"/>
      <c r="Q1006" s="540"/>
      <c r="R1006" s="540"/>
      <c r="S1006" s="540"/>
      <c r="T1006" s="540"/>
      <c r="U1006" s="540"/>
      <c r="V1006" s="540"/>
      <c r="W1006" s="540"/>
      <c r="X1006" s="540"/>
      <c r="Y1006" s="540"/>
      <c r="Z1006" s="540"/>
    </row>
    <row r="1007" spans="1:26" ht="19">
      <c r="A1007" s="631"/>
      <c r="B1007" s="631"/>
      <c r="C1007" s="631"/>
      <c r="D1007" s="832"/>
      <c r="E1007" s="631"/>
      <c r="F1007" s="631"/>
      <c r="G1007" s="631"/>
      <c r="H1007" s="833"/>
      <c r="I1007" s="834"/>
      <c r="J1007" s="834"/>
      <c r="K1007" s="835"/>
      <c r="L1007" s="835"/>
      <c r="M1007" s="835"/>
      <c r="N1007" s="835"/>
      <c r="O1007" s="835"/>
      <c r="P1007" s="835"/>
      <c r="Q1007" s="540"/>
      <c r="R1007" s="540"/>
      <c r="S1007" s="540"/>
      <c r="T1007" s="540"/>
      <c r="U1007" s="540"/>
      <c r="V1007" s="540"/>
      <c r="W1007" s="540"/>
      <c r="X1007" s="540"/>
      <c r="Y1007" s="540"/>
      <c r="Z1007" s="540"/>
    </row>
    <row r="1008" spans="1:26" ht="19">
      <c r="A1008" s="631"/>
      <c r="B1008" s="631"/>
      <c r="C1008" s="631"/>
      <c r="D1008" s="832"/>
      <c r="E1008" s="631"/>
      <c r="F1008" s="631"/>
      <c r="G1008" s="631"/>
      <c r="H1008" s="833"/>
      <c r="I1008" s="834"/>
      <c r="J1008" s="834"/>
      <c r="K1008" s="835"/>
      <c r="L1008" s="835"/>
      <c r="M1008" s="835"/>
      <c r="N1008" s="835"/>
      <c r="O1008" s="835"/>
      <c r="P1008" s="835"/>
      <c r="Q1008" s="540"/>
      <c r="R1008" s="540"/>
      <c r="S1008" s="540"/>
      <c r="T1008" s="540"/>
      <c r="U1008" s="540"/>
      <c r="V1008" s="540"/>
      <c r="W1008" s="540"/>
      <c r="X1008" s="540"/>
      <c r="Y1008" s="540"/>
      <c r="Z1008" s="540"/>
    </row>
    <row r="1009" spans="1:26" ht="19">
      <c r="A1009" s="631"/>
      <c r="B1009" s="631"/>
      <c r="C1009" s="631"/>
      <c r="D1009" s="832"/>
      <c r="E1009" s="631"/>
      <c r="F1009" s="631"/>
      <c r="G1009" s="631"/>
      <c r="H1009" s="833"/>
      <c r="I1009" s="834"/>
      <c r="J1009" s="834"/>
      <c r="K1009" s="835"/>
      <c r="L1009" s="835"/>
      <c r="M1009" s="835"/>
      <c r="N1009" s="835"/>
      <c r="O1009" s="835"/>
      <c r="P1009" s="835"/>
      <c r="Q1009" s="540"/>
      <c r="R1009" s="540"/>
      <c r="S1009" s="540"/>
      <c r="T1009" s="540"/>
      <c r="U1009" s="540"/>
      <c r="V1009" s="540"/>
      <c r="W1009" s="540"/>
      <c r="X1009" s="540"/>
      <c r="Y1009" s="540"/>
      <c r="Z1009" s="540"/>
    </row>
    <row r="1010" spans="1:26" ht="19">
      <c r="A1010" s="631"/>
      <c r="B1010" s="631"/>
      <c r="C1010" s="631"/>
      <c r="D1010" s="832"/>
      <c r="E1010" s="631"/>
      <c r="F1010" s="631"/>
      <c r="G1010" s="631"/>
      <c r="H1010" s="833"/>
      <c r="I1010" s="834"/>
      <c r="J1010" s="834"/>
      <c r="K1010" s="835"/>
      <c r="L1010" s="835"/>
      <c r="M1010" s="835"/>
      <c r="N1010" s="835"/>
      <c r="O1010" s="835"/>
      <c r="P1010" s="835"/>
      <c r="Q1010" s="540"/>
      <c r="R1010" s="540"/>
      <c r="S1010" s="540"/>
      <c r="T1010" s="540"/>
      <c r="U1010" s="540"/>
      <c r="V1010" s="540"/>
      <c r="W1010" s="540"/>
      <c r="X1010" s="540"/>
      <c r="Y1010" s="540"/>
      <c r="Z1010" s="540"/>
    </row>
    <row r="1011" spans="1:26" ht="19">
      <c r="A1011" s="631"/>
      <c r="B1011" s="631"/>
      <c r="C1011" s="631"/>
      <c r="D1011" s="832"/>
      <c r="E1011" s="631"/>
      <c r="F1011" s="631"/>
      <c r="G1011" s="631"/>
      <c r="H1011" s="833"/>
      <c r="I1011" s="834"/>
      <c r="J1011" s="834"/>
      <c r="K1011" s="835"/>
      <c r="L1011" s="835"/>
      <c r="M1011" s="835"/>
      <c r="N1011" s="835"/>
      <c r="O1011" s="835"/>
      <c r="P1011" s="835"/>
      <c r="Q1011" s="540"/>
      <c r="R1011" s="540"/>
      <c r="S1011" s="540"/>
      <c r="T1011" s="540"/>
      <c r="U1011" s="540"/>
      <c r="V1011" s="540"/>
      <c r="W1011" s="540"/>
      <c r="X1011" s="540"/>
      <c r="Y1011" s="540"/>
      <c r="Z1011" s="540"/>
    </row>
    <row r="1012" spans="1:26" ht="19">
      <c r="A1012" s="631"/>
      <c r="B1012" s="631"/>
      <c r="C1012" s="631"/>
      <c r="D1012" s="832"/>
      <c r="E1012" s="631"/>
      <c r="F1012" s="631"/>
      <c r="G1012" s="631"/>
      <c r="H1012" s="833"/>
      <c r="I1012" s="834"/>
      <c r="J1012" s="834"/>
      <c r="K1012" s="835"/>
      <c r="L1012" s="835"/>
      <c r="M1012" s="835"/>
      <c r="N1012" s="835"/>
      <c r="O1012" s="835"/>
      <c r="P1012" s="835"/>
      <c r="Q1012" s="540"/>
      <c r="R1012" s="540"/>
      <c r="S1012" s="540"/>
      <c r="T1012" s="540"/>
      <c r="U1012" s="540"/>
      <c r="V1012" s="540"/>
      <c r="W1012" s="540"/>
      <c r="X1012" s="540"/>
      <c r="Y1012" s="540"/>
      <c r="Z1012" s="540"/>
    </row>
    <row r="1013" spans="1:26" ht="19">
      <c r="A1013" s="631"/>
      <c r="B1013" s="631"/>
      <c r="C1013" s="631"/>
      <c r="D1013" s="832"/>
      <c r="E1013" s="631"/>
      <c r="F1013" s="631"/>
      <c r="G1013" s="631"/>
      <c r="H1013" s="833"/>
      <c r="I1013" s="834"/>
      <c r="J1013" s="834"/>
      <c r="K1013" s="835"/>
      <c r="L1013" s="835"/>
      <c r="M1013" s="835"/>
      <c r="N1013" s="835"/>
      <c r="O1013" s="835"/>
      <c r="P1013" s="835"/>
      <c r="Q1013" s="540"/>
      <c r="R1013" s="540"/>
      <c r="S1013" s="540"/>
      <c r="T1013" s="540"/>
      <c r="U1013" s="540"/>
      <c r="V1013" s="540"/>
      <c r="W1013" s="540"/>
      <c r="X1013" s="540"/>
      <c r="Y1013" s="540"/>
      <c r="Z1013" s="540"/>
    </row>
    <row r="1014" spans="1:26" ht="19">
      <c r="A1014" s="631"/>
      <c r="B1014" s="631"/>
      <c r="C1014" s="631"/>
      <c r="D1014" s="832"/>
      <c r="E1014" s="631"/>
      <c r="F1014" s="631"/>
      <c r="G1014" s="631"/>
      <c r="H1014" s="833"/>
      <c r="I1014" s="834"/>
      <c r="J1014" s="834"/>
      <c r="K1014" s="835"/>
      <c r="L1014" s="835"/>
      <c r="M1014" s="835"/>
      <c r="N1014" s="835"/>
      <c r="O1014" s="835"/>
      <c r="P1014" s="835"/>
      <c r="Q1014" s="540"/>
      <c r="R1014" s="540"/>
      <c r="S1014" s="540"/>
      <c r="T1014" s="540"/>
      <c r="U1014" s="540"/>
      <c r="V1014" s="540"/>
      <c r="W1014" s="540"/>
      <c r="X1014" s="540"/>
      <c r="Y1014" s="540"/>
      <c r="Z1014" s="540"/>
    </row>
    <row r="1015" spans="1:26" ht="19">
      <c r="A1015" s="631"/>
      <c r="B1015" s="631"/>
      <c r="C1015" s="631"/>
      <c r="D1015" s="832"/>
      <c r="E1015" s="631"/>
      <c r="F1015" s="631"/>
      <c r="G1015" s="631"/>
      <c r="H1015" s="833"/>
      <c r="I1015" s="834"/>
      <c r="J1015" s="834"/>
      <c r="K1015" s="835"/>
      <c r="L1015" s="835"/>
      <c r="M1015" s="835"/>
      <c r="N1015" s="835"/>
      <c r="O1015" s="835"/>
      <c r="P1015" s="835"/>
      <c r="Q1015" s="540"/>
      <c r="R1015" s="540"/>
      <c r="S1015" s="540"/>
      <c r="T1015" s="540"/>
      <c r="U1015" s="540"/>
      <c r="V1015" s="540"/>
      <c r="W1015" s="540"/>
      <c r="X1015" s="540"/>
      <c r="Y1015" s="540"/>
      <c r="Z1015" s="540"/>
    </row>
    <row r="1016" spans="1:26" ht="19">
      <c r="A1016" s="631"/>
      <c r="B1016" s="631"/>
      <c r="C1016" s="631"/>
      <c r="D1016" s="832"/>
      <c r="E1016" s="631"/>
      <c r="F1016" s="631"/>
      <c r="G1016" s="631"/>
      <c r="H1016" s="833"/>
      <c r="I1016" s="834"/>
      <c r="J1016" s="834"/>
      <c r="K1016" s="835"/>
      <c r="L1016" s="835"/>
      <c r="M1016" s="835"/>
      <c r="N1016" s="835"/>
      <c r="O1016" s="835"/>
      <c r="P1016" s="835"/>
      <c r="Q1016" s="540"/>
      <c r="R1016" s="540"/>
      <c r="S1016" s="540"/>
      <c r="T1016" s="540"/>
      <c r="U1016" s="540"/>
      <c r="V1016" s="540"/>
      <c r="W1016" s="540"/>
      <c r="X1016" s="540"/>
      <c r="Y1016" s="540"/>
      <c r="Z1016" s="540"/>
    </row>
    <row r="1017" spans="1:26" ht="19">
      <c r="A1017" s="631"/>
      <c r="B1017" s="631"/>
      <c r="C1017" s="631"/>
      <c r="D1017" s="832"/>
      <c r="E1017" s="631"/>
      <c r="F1017" s="631"/>
      <c r="G1017" s="631"/>
      <c r="H1017" s="833"/>
      <c r="I1017" s="834"/>
      <c r="J1017" s="834"/>
      <c r="K1017" s="835"/>
      <c r="L1017" s="835"/>
      <c r="M1017" s="835"/>
      <c r="N1017" s="835"/>
      <c r="O1017" s="835"/>
      <c r="P1017" s="835"/>
      <c r="Q1017" s="540"/>
      <c r="R1017" s="540"/>
      <c r="S1017" s="540"/>
      <c r="T1017" s="540"/>
      <c r="U1017" s="540"/>
      <c r="V1017" s="540"/>
      <c r="W1017" s="540"/>
      <c r="X1017" s="540"/>
      <c r="Y1017" s="540"/>
      <c r="Z1017" s="540"/>
    </row>
    <row r="1018" spans="1:26" ht="19">
      <c r="A1018" s="631"/>
      <c r="B1018" s="631"/>
      <c r="C1018" s="631"/>
      <c r="D1018" s="832"/>
      <c r="E1018" s="631"/>
      <c r="F1018" s="631"/>
      <c r="G1018" s="631"/>
      <c r="H1018" s="833"/>
      <c r="I1018" s="834"/>
      <c r="J1018" s="834"/>
      <c r="K1018" s="835"/>
      <c r="L1018" s="835"/>
      <c r="M1018" s="835"/>
      <c r="N1018" s="835"/>
      <c r="O1018" s="835"/>
      <c r="P1018" s="835"/>
      <c r="Q1018" s="540"/>
      <c r="R1018" s="540"/>
      <c r="S1018" s="540"/>
      <c r="T1018" s="540"/>
      <c r="U1018" s="540"/>
      <c r="V1018" s="540"/>
      <c r="W1018" s="540"/>
      <c r="X1018" s="540"/>
      <c r="Y1018" s="540"/>
      <c r="Z1018" s="540"/>
    </row>
    <row r="1019" spans="1:26" ht="19">
      <c r="A1019" s="631"/>
      <c r="B1019" s="631"/>
      <c r="C1019" s="631"/>
      <c r="D1019" s="832"/>
      <c r="E1019" s="631"/>
      <c r="F1019" s="631"/>
      <c r="G1019" s="631"/>
      <c r="H1019" s="833"/>
      <c r="I1019" s="834"/>
      <c r="J1019" s="834"/>
      <c r="K1019" s="835"/>
      <c r="L1019" s="835"/>
      <c r="M1019" s="835"/>
      <c r="N1019" s="835"/>
      <c r="O1019" s="835"/>
      <c r="P1019" s="835"/>
      <c r="Q1019" s="540"/>
      <c r="R1019" s="540"/>
      <c r="S1019" s="540"/>
      <c r="T1019" s="540"/>
      <c r="U1019" s="540"/>
      <c r="V1019" s="540"/>
      <c r="W1019" s="540"/>
      <c r="X1019" s="540"/>
      <c r="Y1019" s="540"/>
      <c r="Z1019" s="540"/>
    </row>
    <row r="1020" spans="1:26" ht="19">
      <c r="A1020" s="631"/>
      <c r="B1020" s="631"/>
      <c r="C1020" s="631"/>
      <c r="D1020" s="832"/>
      <c r="E1020" s="631"/>
      <c r="F1020" s="631"/>
      <c r="G1020" s="631"/>
      <c r="H1020" s="833"/>
      <c r="I1020" s="834"/>
      <c r="J1020" s="834"/>
      <c r="K1020" s="835"/>
      <c r="L1020" s="835"/>
      <c r="M1020" s="835"/>
      <c r="N1020" s="835"/>
      <c r="O1020" s="835"/>
      <c r="P1020" s="835"/>
      <c r="Q1020" s="540"/>
      <c r="R1020" s="540"/>
      <c r="S1020" s="540"/>
      <c r="T1020" s="540"/>
      <c r="U1020" s="540"/>
      <c r="V1020" s="540"/>
      <c r="W1020" s="540"/>
      <c r="X1020" s="540"/>
      <c r="Y1020" s="540"/>
      <c r="Z1020" s="540"/>
    </row>
    <row r="1021" spans="1:26" ht="19">
      <c r="A1021" s="631"/>
      <c r="B1021" s="631"/>
      <c r="C1021" s="631"/>
      <c r="D1021" s="832"/>
      <c r="E1021" s="631"/>
      <c r="F1021" s="631"/>
      <c r="G1021" s="631"/>
      <c r="H1021" s="833"/>
      <c r="I1021" s="834"/>
      <c r="J1021" s="834"/>
      <c r="K1021" s="835"/>
      <c r="L1021" s="835"/>
      <c r="M1021" s="835"/>
      <c r="N1021" s="835"/>
      <c r="O1021" s="835"/>
      <c r="P1021" s="835"/>
      <c r="Q1021" s="540"/>
      <c r="R1021" s="540"/>
      <c r="S1021" s="540"/>
      <c r="T1021" s="540"/>
      <c r="U1021" s="540"/>
      <c r="V1021" s="540"/>
      <c r="W1021" s="540"/>
      <c r="X1021" s="540"/>
      <c r="Y1021" s="540"/>
      <c r="Z1021" s="540"/>
    </row>
    <row r="1022" spans="1:26" ht="19">
      <c r="A1022" s="631"/>
      <c r="B1022" s="631"/>
      <c r="C1022" s="631"/>
      <c r="D1022" s="832"/>
      <c r="E1022" s="631"/>
      <c r="F1022" s="631"/>
      <c r="G1022" s="631"/>
      <c r="H1022" s="833"/>
      <c r="I1022" s="834"/>
      <c r="J1022" s="834"/>
      <c r="K1022" s="835"/>
      <c r="L1022" s="835"/>
      <c r="M1022" s="835"/>
      <c r="N1022" s="835"/>
      <c r="O1022" s="835"/>
      <c r="P1022" s="835"/>
      <c r="Q1022" s="540"/>
      <c r="R1022" s="540"/>
      <c r="S1022" s="540"/>
      <c r="T1022" s="540"/>
      <c r="U1022" s="540"/>
      <c r="V1022" s="540"/>
      <c r="W1022" s="540"/>
      <c r="X1022" s="540"/>
      <c r="Y1022" s="540"/>
      <c r="Z1022" s="540"/>
    </row>
    <row r="1023" spans="1:26" ht="19">
      <c r="A1023" s="631"/>
      <c r="B1023" s="631"/>
      <c r="C1023" s="631"/>
      <c r="D1023" s="832"/>
      <c r="E1023" s="631"/>
      <c r="F1023" s="631"/>
      <c r="G1023" s="631"/>
      <c r="H1023" s="833"/>
      <c r="I1023" s="834"/>
      <c r="J1023" s="834"/>
      <c r="K1023" s="835"/>
      <c r="L1023" s="835"/>
      <c r="M1023" s="835"/>
      <c r="N1023" s="835"/>
      <c r="O1023" s="835"/>
      <c r="P1023" s="835"/>
      <c r="Q1023" s="540"/>
      <c r="R1023" s="540"/>
      <c r="S1023" s="540"/>
      <c r="T1023" s="540"/>
      <c r="U1023" s="540"/>
      <c r="V1023" s="540"/>
      <c r="W1023" s="540"/>
      <c r="X1023" s="540"/>
      <c r="Y1023" s="540"/>
      <c r="Z1023" s="540"/>
    </row>
    <row r="1024" spans="1:26" ht="19">
      <c r="A1024" s="631"/>
      <c r="B1024" s="631"/>
      <c r="C1024" s="631"/>
      <c r="D1024" s="832"/>
      <c r="E1024" s="631"/>
      <c r="F1024" s="631"/>
      <c r="G1024" s="631"/>
      <c r="H1024" s="833"/>
      <c r="I1024" s="834"/>
      <c r="J1024" s="834"/>
      <c r="K1024" s="835"/>
      <c r="L1024" s="835"/>
      <c r="M1024" s="835"/>
      <c r="N1024" s="835"/>
      <c r="O1024" s="835"/>
      <c r="P1024" s="835"/>
      <c r="Q1024" s="540"/>
      <c r="R1024" s="540"/>
      <c r="S1024" s="540"/>
      <c r="T1024" s="540"/>
      <c r="U1024" s="540"/>
      <c r="V1024" s="540"/>
      <c r="W1024" s="540"/>
      <c r="X1024" s="540"/>
      <c r="Y1024" s="540"/>
      <c r="Z1024" s="540"/>
    </row>
    <row r="1025" spans="1:26" ht="19">
      <c r="A1025" s="631"/>
      <c r="B1025" s="631"/>
      <c r="C1025" s="631"/>
      <c r="D1025" s="832"/>
      <c r="E1025" s="631"/>
      <c r="F1025" s="631"/>
      <c r="G1025" s="631"/>
      <c r="H1025" s="833"/>
      <c r="I1025" s="834"/>
      <c r="J1025" s="834"/>
      <c r="K1025" s="835"/>
      <c r="L1025" s="835"/>
      <c r="M1025" s="835"/>
      <c r="N1025" s="835"/>
      <c r="O1025" s="835"/>
      <c r="P1025" s="835"/>
      <c r="Q1025" s="540"/>
      <c r="R1025" s="540"/>
      <c r="S1025" s="540"/>
      <c r="T1025" s="540"/>
      <c r="U1025" s="540"/>
      <c r="V1025" s="540"/>
      <c r="W1025" s="540"/>
      <c r="X1025" s="540"/>
      <c r="Y1025" s="540"/>
      <c r="Z1025" s="540"/>
    </row>
    <row r="1026" spans="1:26" ht="19">
      <c r="A1026" s="631"/>
      <c r="B1026" s="631"/>
      <c r="C1026" s="631"/>
      <c r="D1026" s="832"/>
      <c r="E1026" s="631"/>
      <c r="F1026" s="631"/>
      <c r="G1026" s="631"/>
      <c r="H1026" s="833"/>
      <c r="I1026" s="834"/>
      <c r="J1026" s="834"/>
      <c r="K1026" s="835"/>
      <c r="L1026" s="835"/>
      <c r="M1026" s="835"/>
      <c r="N1026" s="835"/>
      <c r="O1026" s="835"/>
      <c r="P1026" s="835"/>
      <c r="Q1026" s="540"/>
      <c r="R1026" s="540"/>
      <c r="S1026" s="540"/>
      <c r="T1026" s="540"/>
      <c r="U1026" s="540"/>
      <c r="V1026" s="540"/>
      <c r="W1026" s="540"/>
      <c r="X1026" s="540"/>
      <c r="Y1026" s="540"/>
      <c r="Z1026" s="540"/>
    </row>
    <row r="1027" spans="1:26" ht="19">
      <c r="A1027" s="631"/>
      <c r="B1027" s="631"/>
      <c r="C1027" s="631"/>
      <c r="D1027" s="832"/>
      <c r="E1027" s="631"/>
      <c r="F1027" s="631"/>
      <c r="G1027" s="631"/>
      <c r="H1027" s="833"/>
      <c r="I1027" s="834"/>
      <c r="J1027" s="834"/>
      <c r="K1027" s="835"/>
      <c r="L1027" s="835"/>
      <c r="M1027" s="835"/>
      <c r="N1027" s="835"/>
      <c r="O1027" s="835"/>
      <c r="P1027" s="835"/>
      <c r="Q1027" s="540"/>
      <c r="R1027" s="540"/>
      <c r="S1027" s="540"/>
      <c r="T1027" s="540"/>
      <c r="U1027" s="540"/>
      <c r="V1027" s="540"/>
      <c r="W1027" s="540"/>
      <c r="X1027" s="540"/>
      <c r="Y1027" s="540"/>
      <c r="Z1027" s="540"/>
    </row>
    <row r="1028" spans="1:26" ht="19">
      <c r="A1028" s="631"/>
      <c r="B1028" s="631"/>
      <c r="C1028" s="631"/>
      <c r="D1028" s="832"/>
      <c r="E1028" s="631"/>
      <c r="F1028" s="631"/>
      <c r="G1028" s="631"/>
      <c r="H1028" s="833"/>
      <c r="I1028" s="834"/>
      <c r="J1028" s="834"/>
      <c r="K1028" s="835"/>
      <c r="L1028" s="835"/>
      <c r="M1028" s="835"/>
      <c r="N1028" s="835"/>
      <c r="O1028" s="835"/>
      <c r="P1028" s="835"/>
      <c r="Q1028" s="540"/>
      <c r="R1028" s="540"/>
      <c r="S1028" s="540"/>
      <c r="T1028" s="540"/>
      <c r="U1028" s="540"/>
      <c r="V1028" s="540"/>
      <c r="W1028" s="540"/>
      <c r="X1028" s="540"/>
      <c r="Y1028" s="540"/>
      <c r="Z1028" s="540"/>
    </row>
    <row r="1029" spans="1:26" ht="19">
      <c r="A1029" s="631"/>
      <c r="B1029" s="631"/>
      <c r="C1029" s="631"/>
      <c r="D1029" s="832"/>
      <c r="E1029" s="631"/>
      <c r="F1029" s="631"/>
      <c r="G1029" s="631"/>
      <c r="H1029" s="833"/>
      <c r="I1029" s="834"/>
      <c r="J1029" s="834"/>
      <c r="K1029" s="835"/>
      <c r="L1029" s="835"/>
      <c r="M1029" s="835"/>
      <c r="N1029" s="835"/>
      <c r="O1029" s="835"/>
      <c r="P1029" s="835"/>
      <c r="Q1029" s="540"/>
      <c r="R1029" s="540"/>
      <c r="S1029" s="540"/>
      <c r="T1029" s="540"/>
      <c r="U1029" s="540"/>
      <c r="V1029" s="540"/>
      <c r="W1029" s="540"/>
      <c r="X1029" s="540"/>
      <c r="Y1029" s="540"/>
      <c r="Z1029" s="540"/>
    </row>
    <row r="1030" spans="1:26" ht="19">
      <c r="A1030" s="631"/>
      <c r="B1030" s="631"/>
      <c r="C1030" s="631"/>
      <c r="D1030" s="832"/>
      <c r="E1030" s="631"/>
      <c r="F1030" s="631"/>
      <c r="G1030" s="631"/>
      <c r="H1030" s="833"/>
      <c r="I1030" s="834"/>
      <c r="J1030" s="834"/>
      <c r="K1030" s="835"/>
      <c r="L1030" s="835"/>
      <c r="M1030" s="835"/>
      <c r="N1030" s="835"/>
      <c r="O1030" s="835"/>
      <c r="P1030" s="835"/>
      <c r="Q1030" s="540"/>
      <c r="R1030" s="540"/>
      <c r="S1030" s="540"/>
      <c r="T1030" s="540"/>
      <c r="U1030" s="540"/>
      <c r="V1030" s="540"/>
      <c r="W1030" s="540"/>
      <c r="X1030" s="540"/>
      <c r="Y1030" s="540"/>
      <c r="Z1030" s="540"/>
    </row>
    <row r="1031" spans="1:26" ht="19">
      <c r="A1031" s="631"/>
      <c r="B1031" s="631"/>
      <c r="C1031" s="631"/>
      <c r="D1031" s="832"/>
      <c r="E1031" s="631"/>
      <c r="F1031" s="631"/>
      <c r="G1031" s="631"/>
      <c r="H1031" s="833"/>
      <c r="I1031" s="834"/>
      <c r="J1031" s="834"/>
      <c r="K1031" s="835"/>
      <c r="L1031" s="835"/>
      <c r="M1031" s="835"/>
      <c r="N1031" s="835"/>
      <c r="O1031" s="835"/>
      <c r="P1031" s="835"/>
      <c r="Q1031" s="540"/>
      <c r="R1031" s="540"/>
      <c r="S1031" s="540"/>
      <c r="T1031" s="540"/>
      <c r="U1031" s="540"/>
      <c r="V1031" s="540"/>
      <c r="W1031" s="540"/>
      <c r="X1031" s="540"/>
      <c r="Y1031" s="540"/>
      <c r="Z1031" s="540"/>
    </row>
    <row r="1032" spans="1:26" ht="19">
      <c r="A1032" s="631"/>
      <c r="B1032" s="631"/>
      <c r="C1032" s="631"/>
      <c r="D1032" s="832"/>
      <c r="E1032" s="631"/>
      <c r="F1032" s="631"/>
      <c r="G1032" s="631"/>
      <c r="H1032" s="833"/>
      <c r="I1032" s="834"/>
      <c r="J1032" s="834"/>
      <c r="K1032" s="835"/>
      <c r="L1032" s="835"/>
      <c r="M1032" s="835"/>
      <c r="N1032" s="835"/>
      <c r="O1032" s="835"/>
      <c r="P1032" s="835"/>
      <c r="Q1032" s="540"/>
      <c r="R1032" s="540"/>
      <c r="S1032" s="540"/>
      <c r="T1032" s="540"/>
      <c r="U1032" s="540"/>
      <c r="V1032" s="540"/>
      <c r="W1032" s="540"/>
      <c r="X1032" s="540"/>
      <c r="Y1032" s="540"/>
      <c r="Z1032" s="540"/>
    </row>
    <row r="1033" spans="1:26" ht="19">
      <c r="A1033" s="631"/>
      <c r="B1033" s="631"/>
      <c r="C1033" s="631"/>
      <c r="D1033" s="832"/>
      <c r="E1033" s="631"/>
      <c r="F1033" s="631"/>
      <c r="G1033" s="631"/>
      <c r="H1033" s="833"/>
      <c r="I1033" s="834"/>
      <c r="J1033" s="834"/>
      <c r="K1033" s="835"/>
      <c r="L1033" s="835"/>
      <c r="M1033" s="835"/>
      <c r="N1033" s="835"/>
      <c r="O1033" s="835"/>
      <c r="P1033" s="835"/>
      <c r="Q1033" s="540"/>
      <c r="R1033" s="540"/>
      <c r="S1033" s="540"/>
      <c r="T1033" s="540"/>
      <c r="U1033" s="540"/>
      <c r="V1033" s="540"/>
      <c r="W1033" s="540"/>
      <c r="X1033" s="540"/>
      <c r="Y1033" s="540"/>
      <c r="Z1033" s="540"/>
    </row>
    <row r="1034" spans="1:26" ht="19">
      <c r="A1034" s="631"/>
      <c r="B1034" s="631"/>
      <c r="C1034" s="631"/>
      <c r="D1034" s="832"/>
      <c r="E1034" s="631"/>
      <c r="F1034" s="631"/>
      <c r="G1034" s="631"/>
      <c r="H1034" s="833"/>
      <c r="I1034" s="834"/>
      <c r="J1034" s="834"/>
      <c r="K1034" s="835"/>
      <c r="L1034" s="835"/>
      <c r="M1034" s="835"/>
      <c r="N1034" s="835"/>
      <c r="O1034" s="835"/>
      <c r="P1034" s="835"/>
      <c r="Q1034" s="540"/>
      <c r="R1034" s="540"/>
      <c r="S1034" s="540"/>
      <c r="T1034" s="540"/>
      <c r="U1034" s="540"/>
      <c r="V1034" s="540"/>
      <c r="W1034" s="540"/>
      <c r="X1034" s="540"/>
      <c r="Y1034" s="540"/>
      <c r="Z1034" s="540"/>
    </row>
    <row r="1035" spans="1:26" ht="19">
      <c r="A1035" s="631"/>
      <c r="B1035" s="631"/>
      <c r="C1035" s="631"/>
      <c r="D1035" s="832"/>
      <c r="E1035" s="631"/>
      <c r="F1035" s="631"/>
      <c r="G1035" s="631"/>
      <c r="H1035" s="833"/>
      <c r="I1035" s="834"/>
      <c r="J1035" s="834"/>
      <c r="K1035" s="835"/>
      <c r="L1035" s="835"/>
      <c r="M1035" s="835"/>
      <c r="N1035" s="835"/>
      <c r="O1035" s="835"/>
      <c r="P1035" s="835"/>
      <c r="Q1035" s="540"/>
      <c r="R1035" s="540"/>
      <c r="S1035" s="540"/>
      <c r="T1035" s="540"/>
      <c r="U1035" s="540"/>
      <c r="V1035" s="540"/>
      <c r="W1035" s="540"/>
      <c r="X1035" s="540"/>
      <c r="Y1035" s="540"/>
      <c r="Z1035" s="540"/>
    </row>
    <row r="1036" spans="1:26" ht="19">
      <c r="A1036" s="631"/>
      <c r="B1036" s="631"/>
      <c r="C1036" s="631"/>
      <c r="D1036" s="832"/>
      <c r="E1036" s="631"/>
      <c r="F1036" s="631"/>
      <c r="G1036" s="631"/>
      <c r="H1036" s="833"/>
      <c r="I1036" s="834"/>
      <c r="J1036" s="834"/>
      <c r="K1036" s="835"/>
      <c r="L1036" s="835"/>
      <c r="M1036" s="835"/>
      <c r="N1036" s="835"/>
      <c r="O1036" s="835"/>
      <c r="P1036" s="835"/>
      <c r="Q1036" s="540"/>
      <c r="R1036" s="540"/>
      <c r="S1036" s="540"/>
      <c r="T1036" s="540"/>
      <c r="U1036" s="540"/>
      <c r="V1036" s="540"/>
      <c r="W1036" s="540"/>
      <c r="X1036" s="540"/>
      <c r="Y1036" s="540"/>
      <c r="Z1036" s="540"/>
    </row>
    <row r="1037" spans="1:26" ht="19">
      <c r="A1037" s="631"/>
      <c r="B1037" s="631"/>
      <c r="C1037" s="631"/>
      <c r="D1037" s="832"/>
      <c r="E1037" s="631"/>
      <c r="F1037" s="631"/>
      <c r="G1037" s="631"/>
      <c r="H1037" s="833"/>
      <c r="I1037" s="834"/>
      <c r="J1037" s="834"/>
      <c r="K1037" s="835"/>
      <c r="L1037" s="835"/>
      <c r="M1037" s="835"/>
      <c r="N1037" s="835"/>
      <c r="O1037" s="835"/>
      <c r="P1037" s="835"/>
      <c r="Q1037" s="540"/>
      <c r="R1037" s="540"/>
      <c r="S1037" s="540"/>
      <c r="T1037" s="540"/>
      <c r="U1037" s="540"/>
      <c r="V1037" s="540"/>
      <c r="W1037" s="540"/>
      <c r="X1037" s="540"/>
      <c r="Y1037" s="540"/>
      <c r="Z1037" s="540"/>
    </row>
    <row r="1038" spans="1:26" ht="19">
      <c r="A1038" s="631"/>
      <c r="B1038" s="631"/>
      <c r="C1038" s="631"/>
      <c r="D1038" s="832"/>
      <c r="E1038" s="631"/>
      <c r="F1038" s="631"/>
      <c r="G1038" s="631"/>
      <c r="H1038" s="833"/>
      <c r="I1038" s="834"/>
      <c r="J1038" s="834"/>
      <c r="K1038" s="835"/>
      <c r="L1038" s="835"/>
      <c r="M1038" s="835"/>
      <c r="N1038" s="835"/>
      <c r="O1038" s="835"/>
      <c r="P1038" s="835"/>
      <c r="Q1038" s="540"/>
      <c r="R1038" s="540"/>
      <c r="S1038" s="540"/>
      <c r="T1038" s="540"/>
      <c r="U1038" s="540"/>
      <c r="V1038" s="540"/>
      <c r="W1038" s="540"/>
      <c r="X1038" s="540"/>
      <c r="Y1038" s="540"/>
      <c r="Z1038" s="540"/>
    </row>
    <row r="1039" spans="1:26" ht="19">
      <c r="A1039" s="631"/>
      <c r="B1039" s="631"/>
      <c r="C1039" s="631"/>
      <c r="D1039" s="832"/>
      <c r="E1039" s="631"/>
      <c r="F1039" s="631"/>
      <c r="G1039" s="631"/>
      <c r="H1039" s="833"/>
      <c r="I1039" s="834"/>
      <c r="J1039" s="834"/>
      <c r="K1039" s="835"/>
      <c r="L1039" s="835"/>
      <c r="M1039" s="835"/>
      <c r="N1039" s="835"/>
      <c r="O1039" s="835"/>
      <c r="P1039" s="835"/>
      <c r="Q1039" s="540"/>
      <c r="R1039" s="540"/>
      <c r="S1039" s="540"/>
      <c r="T1039" s="540"/>
      <c r="U1039" s="540"/>
      <c r="V1039" s="540"/>
      <c r="W1039" s="540"/>
      <c r="X1039" s="540"/>
      <c r="Y1039" s="540"/>
      <c r="Z1039" s="540"/>
    </row>
    <row r="1040" spans="1:26" ht="19">
      <c r="A1040" s="631"/>
      <c r="B1040" s="631"/>
      <c r="C1040" s="631"/>
      <c r="D1040" s="832"/>
      <c r="E1040" s="631"/>
      <c r="F1040" s="631"/>
      <c r="G1040" s="631"/>
      <c r="H1040" s="833"/>
      <c r="I1040" s="834"/>
      <c r="J1040" s="834"/>
      <c r="K1040" s="835"/>
      <c r="L1040" s="835"/>
      <c r="M1040" s="835"/>
      <c r="N1040" s="835"/>
      <c r="O1040" s="835"/>
      <c r="P1040" s="835"/>
      <c r="Q1040" s="540"/>
      <c r="R1040" s="540"/>
      <c r="S1040" s="540"/>
      <c r="T1040" s="540"/>
      <c r="U1040" s="540"/>
      <c r="V1040" s="540"/>
      <c r="W1040" s="540"/>
      <c r="X1040" s="540"/>
      <c r="Y1040" s="540"/>
      <c r="Z1040" s="540"/>
    </row>
    <row r="1041" spans="1:26" ht="19">
      <c r="A1041" s="631"/>
      <c r="B1041" s="631"/>
      <c r="C1041" s="631"/>
      <c r="D1041" s="832"/>
      <c r="E1041" s="631"/>
      <c r="F1041" s="631"/>
      <c r="G1041" s="631"/>
      <c r="H1041" s="833"/>
      <c r="I1041" s="834"/>
      <c r="J1041" s="834"/>
      <c r="K1041" s="835"/>
      <c r="L1041" s="835"/>
      <c r="M1041" s="835"/>
      <c r="N1041" s="835"/>
      <c r="O1041" s="835"/>
      <c r="P1041" s="835"/>
      <c r="Q1041" s="540"/>
      <c r="R1041" s="540"/>
      <c r="S1041" s="540"/>
      <c r="T1041" s="540"/>
      <c r="U1041" s="540"/>
      <c r="V1041" s="540"/>
      <c r="W1041" s="540"/>
      <c r="X1041" s="540"/>
      <c r="Y1041" s="540"/>
      <c r="Z1041" s="540"/>
    </row>
    <row r="1042" spans="1:26" ht="19">
      <c r="A1042" s="631"/>
      <c r="B1042" s="631"/>
      <c r="C1042" s="631"/>
      <c r="D1042" s="832"/>
      <c r="E1042" s="631"/>
      <c r="F1042" s="631"/>
      <c r="G1042" s="631"/>
      <c r="H1042" s="833"/>
      <c r="I1042" s="834"/>
      <c r="J1042" s="834"/>
      <c r="K1042" s="835"/>
      <c r="L1042" s="835"/>
      <c r="M1042" s="835"/>
      <c r="N1042" s="835"/>
      <c r="O1042" s="835"/>
      <c r="P1042" s="835"/>
      <c r="Q1042" s="540"/>
      <c r="R1042" s="540"/>
      <c r="S1042" s="540"/>
      <c r="T1042" s="540"/>
      <c r="U1042" s="540"/>
      <c r="V1042" s="540"/>
      <c r="W1042" s="540"/>
      <c r="X1042" s="540"/>
      <c r="Y1042" s="540"/>
      <c r="Z1042" s="540"/>
    </row>
    <row r="1043" spans="1:26" ht="19">
      <c r="A1043" s="631"/>
      <c r="B1043" s="631"/>
      <c r="C1043" s="631"/>
      <c r="D1043" s="832"/>
      <c r="E1043" s="631"/>
      <c r="F1043" s="631"/>
      <c r="G1043" s="631"/>
      <c r="H1043" s="833"/>
      <c r="I1043" s="834"/>
      <c r="J1043" s="834"/>
      <c r="K1043" s="835"/>
      <c r="L1043" s="835"/>
      <c r="M1043" s="835"/>
      <c r="N1043" s="835"/>
      <c r="O1043" s="835"/>
      <c r="P1043" s="835"/>
      <c r="Q1043" s="540"/>
      <c r="R1043" s="540"/>
      <c r="S1043" s="540"/>
      <c r="T1043" s="540"/>
      <c r="U1043" s="540"/>
      <c r="V1043" s="540"/>
      <c r="W1043" s="540"/>
      <c r="X1043" s="540"/>
      <c r="Y1043" s="540"/>
      <c r="Z1043" s="540"/>
    </row>
    <row r="1044" spans="1:26" ht="19">
      <c r="A1044" s="631"/>
      <c r="B1044" s="631"/>
      <c r="C1044" s="631"/>
      <c r="D1044" s="832"/>
      <c r="E1044" s="631"/>
      <c r="F1044" s="631"/>
      <c r="G1044" s="631"/>
      <c r="H1044" s="833"/>
      <c r="I1044" s="834"/>
      <c r="J1044" s="834"/>
      <c r="K1044" s="835"/>
      <c r="L1044" s="835"/>
      <c r="M1044" s="835"/>
      <c r="N1044" s="835"/>
      <c r="O1044" s="835"/>
      <c r="P1044" s="835"/>
      <c r="Q1044" s="540"/>
      <c r="R1044" s="540"/>
      <c r="S1044" s="540"/>
      <c r="T1044" s="540"/>
      <c r="U1044" s="540"/>
      <c r="V1044" s="540"/>
      <c r="W1044" s="540"/>
      <c r="X1044" s="540"/>
      <c r="Y1044" s="540"/>
      <c r="Z1044" s="540"/>
    </row>
    <row r="1045" spans="1:26" ht="19">
      <c r="A1045" s="631"/>
      <c r="B1045" s="631"/>
      <c r="C1045" s="631"/>
      <c r="D1045" s="832"/>
      <c r="E1045" s="631"/>
      <c r="F1045" s="631"/>
      <c r="G1045" s="631"/>
      <c r="H1045" s="833"/>
      <c r="I1045" s="834"/>
      <c r="J1045" s="834"/>
      <c r="K1045" s="835"/>
      <c r="L1045" s="835"/>
      <c r="M1045" s="835"/>
      <c r="N1045" s="835"/>
      <c r="O1045" s="835"/>
      <c r="P1045" s="835"/>
      <c r="Q1045" s="540"/>
      <c r="R1045" s="540"/>
      <c r="S1045" s="540"/>
      <c r="T1045" s="540"/>
      <c r="U1045" s="540"/>
      <c r="V1045" s="540"/>
      <c r="W1045" s="540"/>
      <c r="X1045" s="540"/>
      <c r="Y1045" s="540"/>
      <c r="Z1045" s="540"/>
    </row>
    <row r="1046" spans="1:26" ht="19">
      <c r="A1046" s="631"/>
      <c r="B1046" s="631"/>
      <c r="C1046" s="631"/>
      <c r="D1046" s="832"/>
      <c r="E1046" s="631"/>
      <c r="F1046" s="631"/>
      <c r="G1046" s="631"/>
      <c r="H1046" s="833"/>
      <c r="I1046" s="834"/>
      <c r="J1046" s="834"/>
      <c r="K1046" s="835"/>
      <c r="L1046" s="835"/>
      <c r="M1046" s="835"/>
      <c r="N1046" s="835"/>
      <c r="O1046" s="835"/>
      <c r="P1046" s="835"/>
      <c r="Q1046" s="540"/>
      <c r="R1046" s="540"/>
      <c r="S1046" s="540"/>
      <c r="T1046" s="540"/>
      <c r="U1046" s="540"/>
      <c r="V1046" s="540"/>
      <c r="W1046" s="540"/>
      <c r="X1046" s="540"/>
      <c r="Y1046" s="540"/>
      <c r="Z1046" s="540"/>
    </row>
    <row r="1047" spans="1:26" ht="19">
      <c r="A1047" s="631"/>
      <c r="B1047" s="631"/>
      <c r="C1047" s="631"/>
      <c r="D1047" s="832"/>
      <c r="E1047" s="631"/>
      <c r="F1047" s="631"/>
      <c r="G1047" s="631"/>
      <c r="H1047" s="833"/>
      <c r="I1047" s="834"/>
      <c r="J1047" s="834"/>
      <c r="K1047" s="835"/>
      <c r="L1047" s="835"/>
      <c r="M1047" s="835"/>
      <c r="N1047" s="835"/>
      <c r="O1047" s="835"/>
      <c r="P1047" s="835"/>
      <c r="Q1047" s="540"/>
      <c r="R1047" s="540"/>
      <c r="S1047" s="540"/>
      <c r="T1047" s="540"/>
      <c r="U1047" s="540"/>
      <c r="V1047" s="540"/>
      <c r="W1047" s="540"/>
      <c r="X1047" s="540"/>
      <c r="Y1047" s="540"/>
      <c r="Z1047" s="540"/>
    </row>
    <row r="1048" spans="1:26" ht="19">
      <c r="A1048" s="631"/>
      <c r="B1048" s="631"/>
      <c r="C1048" s="631"/>
      <c r="D1048" s="832"/>
      <c r="E1048" s="631"/>
      <c r="F1048" s="631"/>
      <c r="G1048" s="631"/>
      <c r="H1048" s="833"/>
      <c r="I1048" s="834"/>
      <c r="J1048" s="834"/>
      <c r="K1048" s="835"/>
      <c r="L1048" s="835"/>
      <c r="M1048" s="835"/>
      <c r="N1048" s="835"/>
      <c r="O1048" s="835"/>
      <c r="P1048" s="835"/>
      <c r="Q1048" s="540"/>
      <c r="R1048" s="540"/>
      <c r="S1048" s="540"/>
      <c r="T1048" s="540"/>
      <c r="U1048" s="540"/>
      <c r="V1048" s="540"/>
      <c r="W1048" s="540"/>
      <c r="X1048" s="540"/>
      <c r="Y1048" s="540"/>
      <c r="Z1048" s="540"/>
    </row>
    <row r="1049" spans="1:26" ht="19">
      <c r="A1049" s="631"/>
      <c r="B1049" s="631"/>
      <c r="C1049" s="631"/>
      <c r="D1049" s="832"/>
      <c r="E1049" s="631"/>
      <c r="F1049" s="631"/>
      <c r="G1049" s="631"/>
      <c r="H1049" s="833"/>
      <c r="I1049" s="834"/>
      <c r="J1049" s="834"/>
      <c r="K1049" s="835"/>
      <c r="L1049" s="835"/>
      <c r="M1049" s="835"/>
      <c r="N1049" s="835"/>
      <c r="O1049" s="835"/>
      <c r="P1049" s="835"/>
      <c r="Q1049" s="540"/>
      <c r="R1049" s="540"/>
      <c r="S1049" s="540"/>
      <c r="T1049" s="540"/>
      <c r="U1049" s="540"/>
      <c r="V1049" s="540"/>
      <c r="W1049" s="540"/>
      <c r="X1049" s="540"/>
      <c r="Y1049" s="540"/>
      <c r="Z1049" s="540"/>
    </row>
    <row r="1050" spans="1:26" ht="19">
      <c r="A1050" s="631"/>
      <c r="B1050" s="631"/>
      <c r="C1050" s="631"/>
      <c r="D1050" s="832"/>
      <c r="E1050" s="631"/>
      <c r="F1050" s="631"/>
      <c r="G1050" s="631"/>
      <c r="H1050" s="833"/>
      <c r="I1050" s="834"/>
      <c r="J1050" s="834"/>
      <c r="K1050" s="835"/>
      <c r="L1050" s="835"/>
      <c r="M1050" s="835"/>
      <c r="N1050" s="835"/>
      <c r="O1050" s="835"/>
      <c r="P1050" s="835"/>
      <c r="Q1050" s="540"/>
      <c r="R1050" s="540"/>
      <c r="S1050" s="540"/>
      <c r="T1050" s="540"/>
      <c r="U1050" s="540"/>
      <c r="V1050" s="540"/>
      <c r="W1050" s="540"/>
      <c r="X1050" s="540"/>
      <c r="Y1050" s="540"/>
      <c r="Z1050" s="540"/>
    </row>
    <row r="1051" spans="1:26" ht="19">
      <c r="A1051" s="631"/>
      <c r="B1051" s="631"/>
      <c r="C1051" s="631"/>
      <c r="D1051" s="832"/>
      <c r="E1051" s="631"/>
      <c r="F1051" s="631"/>
      <c r="G1051" s="631"/>
      <c r="H1051" s="833"/>
      <c r="I1051" s="834"/>
      <c r="J1051" s="834"/>
      <c r="K1051" s="835"/>
      <c r="L1051" s="835"/>
      <c r="M1051" s="835"/>
      <c r="N1051" s="835"/>
      <c r="O1051" s="835"/>
      <c r="P1051" s="835"/>
      <c r="Q1051" s="540"/>
      <c r="R1051" s="540"/>
      <c r="S1051" s="540"/>
      <c r="T1051" s="540"/>
      <c r="U1051" s="540"/>
      <c r="V1051" s="540"/>
      <c r="W1051" s="540"/>
      <c r="X1051" s="540"/>
      <c r="Y1051" s="540"/>
      <c r="Z1051" s="540"/>
    </row>
    <row r="1052" spans="1:26" ht="19">
      <c r="A1052" s="631"/>
      <c r="B1052" s="631"/>
      <c r="C1052" s="631"/>
      <c r="D1052" s="832"/>
      <c r="E1052" s="631"/>
      <c r="F1052" s="631"/>
      <c r="G1052" s="631"/>
      <c r="H1052" s="833"/>
      <c r="I1052" s="834"/>
      <c r="J1052" s="834"/>
      <c r="K1052" s="835"/>
      <c r="L1052" s="835"/>
      <c r="M1052" s="835"/>
      <c r="N1052" s="835"/>
      <c r="O1052" s="835"/>
      <c r="P1052" s="835"/>
      <c r="Q1052" s="540"/>
      <c r="R1052" s="540"/>
      <c r="S1052" s="540"/>
      <c r="T1052" s="540"/>
      <c r="U1052" s="540"/>
      <c r="V1052" s="540"/>
      <c r="W1052" s="540"/>
      <c r="X1052" s="540"/>
      <c r="Y1052" s="540"/>
      <c r="Z1052" s="540"/>
    </row>
    <row r="1053" spans="1:26" ht="19">
      <c r="A1053" s="631"/>
      <c r="B1053" s="631"/>
      <c r="C1053" s="631"/>
      <c r="D1053" s="832"/>
      <c r="E1053" s="631"/>
      <c r="F1053" s="631"/>
      <c r="G1053" s="631"/>
      <c r="H1053" s="833"/>
      <c r="I1053" s="834"/>
      <c r="J1053" s="834"/>
      <c r="K1053" s="835"/>
      <c r="L1053" s="835"/>
      <c r="M1053" s="835"/>
      <c r="N1053" s="835"/>
      <c r="O1053" s="835"/>
      <c r="P1053" s="835"/>
      <c r="Q1053" s="540"/>
      <c r="R1053" s="540"/>
      <c r="S1053" s="540"/>
      <c r="T1053" s="540"/>
      <c r="U1053" s="540"/>
      <c r="V1053" s="540"/>
      <c r="W1053" s="540"/>
      <c r="X1053" s="540"/>
      <c r="Y1053" s="540"/>
      <c r="Z1053" s="540"/>
    </row>
    <row r="1054" spans="1:26" ht="19">
      <c r="A1054" s="631"/>
      <c r="B1054" s="631"/>
      <c r="C1054" s="631"/>
      <c r="D1054" s="832"/>
      <c r="E1054" s="631"/>
      <c r="F1054" s="631"/>
      <c r="G1054" s="631"/>
      <c r="H1054" s="833"/>
      <c r="I1054" s="834"/>
      <c r="J1054" s="834"/>
      <c r="K1054" s="835"/>
      <c r="L1054" s="835"/>
      <c r="M1054" s="835"/>
      <c r="N1054" s="835"/>
      <c r="O1054" s="835"/>
      <c r="P1054" s="835"/>
      <c r="Q1054" s="540"/>
      <c r="R1054" s="540"/>
      <c r="S1054" s="540"/>
      <c r="T1054" s="540"/>
      <c r="U1054" s="540"/>
      <c r="V1054" s="540"/>
      <c r="W1054" s="540"/>
      <c r="X1054" s="540"/>
      <c r="Y1054" s="540"/>
      <c r="Z1054" s="540"/>
    </row>
    <row r="1055" spans="1:26" ht="19">
      <c r="A1055" s="631"/>
      <c r="B1055" s="631"/>
      <c r="C1055" s="631"/>
      <c r="D1055" s="832"/>
      <c r="E1055" s="631"/>
      <c r="F1055" s="631"/>
      <c r="G1055" s="631"/>
      <c r="H1055" s="833"/>
      <c r="I1055" s="834"/>
      <c r="J1055" s="834"/>
      <c r="K1055" s="835"/>
      <c r="L1055" s="835"/>
      <c r="M1055" s="835"/>
      <c r="N1055" s="835"/>
      <c r="O1055" s="835"/>
      <c r="P1055" s="835"/>
      <c r="Q1055" s="540"/>
      <c r="R1055" s="540"/>
      <c r="S1055" s="540"/>
      <c r="T1055" s="540"/>
      <c r="U1055" s="540"/>
      <c r="V1055" s="540"/>
      <c r="W1055" s="540"/>
      <c r="X1055" s="540"/>
      <c r="Y1055" s="540"/>
      <c r="Z1055" s="540"/>
    </row>
    <row r="1056" spans="1:26" ht="19">
      <c r="A1056" s="631"/>
      <c r="B1056" s="631"/>
      <c r="C1056" s="631"/>
      <c r="D1056" s="832"/>
      <c r="E1056" s="631"/>
      <c r="F1056" s="631"/>
      <c r="G1056" s="631"/>
      <c r="H1056" s="833"/>
      <c r="I1056" s="834"/>
      <c r="J1056" s="834"/>
      <c r="K1056" s="835"/>
      <c r="L1056" s="835"/>
      <c r="M1056" s="835"/>
      <c r="N1056" s="835"/>
      <c r="O1056" s="835"/>
      <c r="P1056" s="835"/>
      <c r="Q1056" s="540"/>
      <c r="R1056" s="540"/>
      <c r="S1056" s="540"/>
      <c r="T1056" s="540"/>
      <c r="U1056" s="540"/>
      <c r="V1056" s="540"/>
      <c r="W1056" s="540"/>
      <c r="X1056" s="540"/>
      <c r="Y1056" s="540"/>
      <c r="Z1056" s="540"/>
    </row>
    <row r="1057" spans="1:26" ht="19">
      <c r="A1057" s="631"/>
      <c r="B1057" s="631"/>
      <c r="C1057" s="631"/>
      <c r="D1057" s="832"/>
      <c r="E1057" s="631"/>
      <c r="F1057" s="631"/>
      <c r="G1057" s="631"/>
      <c r="H1057" s="833"/>
      <c r="I1057" s="834"/>
      <c r="J1057" s="834"/>
      <c r="K1057" s="835"/>
      <c r="L1057" s="835"/>
      <c r="M1057" s="835"/>
      <c r="N1057" s="835"/>
      <c r="O1057" s="835"/>
      <c r="P1057" s="835"/>
      <c r="Q1057" s="540"/>
      <c r="R1057" s="540"/>
      <c r="S1057" s="540"/>
      <c r="T1057" s="540"/>
      <c r="U1057" s="540"/>
      <c r="V1057" s="540"/>
      <c r="W1057" s="540"/>
      <c r="X1057" s="540"/>
      <c r="Y1057" s="540"/>
      <c r="Z1057" s="540"/>
    </row>
    <row r="1058" spans="1:26" ht="19">
      <c r="A1058" s="631"/>
      <c r="B1058" s="631"/>
      <c r="C1058" s="631"/>
      <c r="D1058" s="832"/>
      <c r="E1058" s="631"/>
      <c r="F1058" s="631"/>
      <c r="G1058" s="631"/>
      <c r="H1058" s="833"/>
      <c r="I1058" s="834"/>
      <c r="J1058" s="834"/>
      <c r="K1058" s="835"/>
      <c r="L1058" s="835"/>
      <c r="M1058" s="835"/>
      <c r="N1058" s="835"/>
      <c r="O1058" s="835"/>
      <c r="P1058" s="835"/>
      <c r="Q1058" s="540"/>
      <c r="R1058" s="540"/>
      <c r="S1058" s="540"/>
      <c r="T1058" s="540"/>
      <c r="U1058" s="540"/>
      <c r="V1058" s="540"/>
      <c r="W1058" s="540"/>
      <c r="X1058" s="540"/>
      <c r="Y1058" s="540"/>
      <c r="Z1058" s="540"/>
    </row>
    <row r="1059" spans="1:26" ht="19">
      <c r="A1059" s="631"/>
      <c r="B1059" s="631"/>
      <c r="C1059" s="631"/>
      <c r="D1059" s="832"/>
      <c r="E1059" s="631"/>
      <c r="F1059" s="631"/>
      <c r="G1059" s="631"/>
      <c r="H1059" s="833"/>
      <c r="I1059" s="834"/>
      <c r="J1059" s="834"/>
      <c r="K1059" s="835"/>
      <c r="L1059" s="835"/>
      <c r="M1059" s="835"/>
      <c r="N1059" s="835"/>
      <c r="O1059" s="835"/>
      <c r="P1059" s="835"/>
      <c r="Q1059" s="540"/>
      <c r="R1059" s="540"/>
      <c r="S1059" s="540"/>
      <c r="T1059" s="540"/>
      <c r="U1059" s="540"/>
      <c r="V1059" s="540"/>
      <c r="W1059" s="540"/>
      <c r="X1059" s="540"/>
      <c r="Y1059" s="540"/>
      <c r="Z1059" s="540"/>
    </row>
    <row r="1060" spans="1:26" ht="19">
      <c r="A1060" s="631"/>
      <c r="B1060" s="631"/>
      <c r="C1060" s="631"/>
      <c r="D1060" s="832"/>
      <c r="E1060" s="631"/>
      <c r="F1060" s="631"/>
      <c r="G1060" s="631"/>
      <c r="H1060" s="833"/>
      <c r="I1060" s="834"/>
      <c r="J1060" s="834"/>
      <c r="K1060" s="835"/>
      <c r="L1060" s="835"/>
      <c r="M1060" s="835"/>
      <c r="N1060" s="835"/>
      <c r="O1060" s="835"/>
      <c r="P1060" s="835"/>
      <c r="Q1060" s="540"/>
      <c r="R1060" s="540"/>
      <c r="S1060" s="540"/>
      <c r="T1060" s="540"/>
      <c r="U1060" s="540"/>
      <c r="V1060" s="540"/>
      <c r="W1060" s="540"/>
      <c r="X1060" s="540"/>
      <c r="Y1060" s="540"/>
      <c r="Z1060" s="540"/>
    </row>
    <row r="1061" spans="1:26" ht="19">
      <c r="A1061" s="631"/>
      <c r="B1061" s="631"/>
      <c r="C1061" s="631"/>
      <c r="D1061" s="832"/>
      <c r="E1061" s="631"/>
      <c r="F1061" s="631"/>
      <c r="G1061" s="631"/>
      <c r="H1061" s="833"/>
      <c r="I1061" s="834"/>
      <c r="J1061" s="834"/>
      <c r="K1061" s="835"/>
      <c r="L1061" s="835"/>
      <c r="M1061" s="835"/>
      <c r="N1061" s="835"/>
      <c r="O1061" s="835"/>
      <c r="P1061" s="835"/>
      <c r="Q1061" s="540"/>
      <c r="R1061" s="540"/>
      <c r="S1061" s="540"/>
      <c r="T1061" s="540"/>
      <c r="U1061" s="540"/>
      <c r="V1061" s="540"/>
      <c r="W1061" s="540"/>
      <c r="X1061" s="540"/>
      <c r="Y1061" s="540"/>
      <c r="Z1061" s="540"/>
    </row>
    <row r="1062" spans="1:26" ht="19">
      <c r="A1062" s="631"/>
      <c r="B1062" s="631"/>
      <c r="C1062" s="631"/>
      <c r="D1062" s="832"/>
      <c r="E1062" s="631"/>
      <c r="F1062" s="631"/>
      <c r="G1062" s="631"/>
      <c r="H1062" s="833"/>
      <c r="I1062" s="834"/>
      <c r="J1062" s="834"/>
      <c r="K1062" s="835"/>
      <c r="L1062" s="835"/>
      <c r="M1062" s="835"/>
      <c r="N1062" s="835"/>
      <c r="O1062" s="835"/>
      <c r="P1062" s="835"/>
      <c r="Q1062" s="540"/>
      <c r="R1062" s="540"/>
      <c r="S1062" s="540"/>
      <c r="T1062" s="540"/>
      <c r="U1062" s="540"/>
      <c r="V1062" s="540"/>
      <c r="W1062" s="540"/>
      <c r="X1062" s="540"/>
      <c r="Y1062" s="540"/>
      <c r="Z1062" s="540"/>
    </row>
    <row r="1063" spans="1:26" ht="19">
      <c r="A1063" s="631"/>
      <c r="B1063" s="631"/>
      <c r="C1063" s="631"/>
      <c r="D1063" s="832"/>
      <c r="E1063" s="631"/>
      <c r="F1063" s="631"/>
      <c r="G1063" s="631"/>
      <c r="H1063" s="833"/>
      <c r="I1063" s="834"/>
      <c r="J1063" s="834"/>
      <c r="K1063" s="835"/>
      <c r="L1063" s="835"/>
      <c r="M1063" s="835"/>
      <c r="N1063" s="835"/>
      <c r="O1063" s="835"/>
      <c r="P1063" s="835"/>
      <c r="Q1063" s="540"/>
      <c r="R1063" s="540"/>
      <c r="S1063" s="540"/>
      <c r="T1063" s="540"/>
      <c r="U1063" s="540"/>
      <c r="V1063" s="540"/>
      <c r="W1063" s="540"/>
      <c r="X1063" s="540"/>
      <c r="Y1063" s="540"/>
      <c r="Z1063" s="540"/>
    </row>
    <row r="1064" spans="1:26" ht="19">
      <c r="A1064" s="631"/>
      <c r="B1064" s="631"/>
      <c r="C1064" s="631"/>
      <c r="D1064" s="832"/>
      <c r="E1064" s="631"/>
      <c r="F1064" s="631"/>
      <c r="G1064" s="631"/>
      <c r="H1064" s="833"/>
      <c r="I1064" s="834"/>
      <c r="J1064" s="834"/>
      <c r="K1064" s="835"/>
      <c r="L1064" s="835"/>
      <c r="M1064" s="835"/>
      <c r="N1064" s="835"/>
      <c r="O1064" s="835"/>
      <c r="P1064" s="835"/>
      <c r="Q1064" s="540"/>
      <c r="R1064" s="540"/>
      <c r="S1064" s="540"/>
      <c r="T1064" s="540"/>
      <c r="U1064" s="540"/>
      <c r="V1064" s="540"/>
      <c r="W1064" s="540"/>
      <c r="X1064" s="540"/>
      <c r="Y1064" s="540"/>
      <c r="Z1064" s="540"/>
    </row>
    <row r="1065" spans="1:26" ht="19">
      <c r="A1065" s="631"/>
      <c r="B1065" s="631"/>
      <c r="C1065" s="631"/>
      <c r="D1065" s="832"/>
      <c r="E1065" s="631"/>
      <c r="F1065" s="631"/>
      <c r="G1065" s="631"/>
      <c r="H1065" s="833"/>
      <c r="I1065" s="834"/>
      <c r="J1065" s="834"/>
      <c r="K1065" s="835"/>
      <c r="L1065" s="835"/>
      <c r="M1065" s="835"/>
      <c r="N1065" s="835"/>
      <c r="O1065" s="835"/>
      <c r="P1065" s="835"/>
      <c r="Q1065" s="540"/>
      <c r="R1065" s="540"/>
      <c r="S1065" s="540"/>
      <c r="T1065" s="540"/>
      <c r="U1065" s="540"/>
      <c r="V1065" s="540"/>
      <c r="W1065" s="540"/>
      <c r="X1065" s="540"/>
      <c r="Y1065" s="540"/>
      <c r="Z1065" s="540"/>
    </row>
    <row r="1066" spans="1:26" ht="19">
      <c r="A1066" s="631"/>
      <c r="B1066" s="631"/>
      <c r="C1066" s="631"/>
      <c r="D1066" s="832"/>
      <c r="E1066" s="631"/>
      <c r="F1066" s="631"/>
      <c r="G1066" s="631"/>
      <c r="H1066" s="833"/>
      <c r="I1066" s="834"/>
      <c r="J1066" s="834"/>
      <c r="K1066" s="835"/>
      <c r="L1066" s="835"/>
      <c r="M1066" s="835"/>
      <c r="N1066" s="835"/>
      <c r="O1066" s="835"/>
      <c r="P1066" s="835"/>
      <c r="Q1066" s="540"/>
      <c r="R1066" s="540"/>
      <c r="S1066" s="540"/>
      <c r="T1066" s="540"/>
      <c r="U1066" s="540"/>
      <c r="V1066" s="540"/>
      <c r="W1066" s="540"/>
      <c r="X1066" s="540"/>
      <c r="Y1066" s="540"/>
      <c r="Z1066" s="540"/>
    </row>
    <row r="1067" spans="1:26" ht="19">
      <c r="A1067" s="631"/>
      <c r="B1067" s="631"/>
      <c r="C1067" s="631"/>
      <c r="D1067" s="832"/>
      <c r="E1067" s="631"/>
      <c r="F1067" s="631"/>
      <c r="G1067" s="631"/>
      <c r="H1067" s="833"/>
      <c r="I1067" s="834"/>
      <c r="J1067" s="834"/>
      <c r="K1067" s="835"/>
      <c r="L1067" s="835"/>
      <c r="M1067" s="835"/>
      <c r="N1067" s="835"/>
      <c r="O1067" s="835"/>
      <c r="P1067" s="835"/>
      <c r="Q1067" s="540"/>
      <c r="R1067" s="540"/>
      <c r="S1067" s="540"/>
      <c r="T1067" s="540"/>
      <c r="U1067" s="540"/>
      <c r="V1067" s="540"/>
      <c r="W1067" s="540"/>
      <c r="X1067" s="540"/>
      <c r="Y1067" s="540"/>
      <c r="Z1067" s="540"/>
    </row>
    <row r="1068" spans="1:26" ht="19">
      <c r="A1068" s="631"/>
      <c r="B1068" s="631"/>
      <c r="C1068" s="631"/>
      <c r="D1068" s="832"/>
      <c r="E1068" s="631"/>
      <c r="F1068" s="631"/>
      <c r="G1068" s="631"/>
      <c r="H1068" s="833"/>
      <c r="I1068" s="834"/>
      <c r="J1068" s="834"/>
      <c r="K1068" s="835"/>
      <c r="L1068" s="835"/>
      <c r="M1068" s="835"/>
      <c r="N1068" s="835"/>
      <c r="O1068" s="835"/>
      <c r="P1068" s="835"/>
      <c r="Q1068" s="540"/>
      <c r="R1068" s="540"/>
      <c r="S1068" s="540"/>
      <c r="T1068" s="540"/>
      <c r="U1068" s="540"/>
      <c r="V1068" s="540"/>
      <c r="W1068" s="540"/>
      <c r="X1068" s="540"/>
      <c r="Y1068" s="540"/>
      <c r="Z1068" s="540"/>
    </row>
    <row r="1069" spans="1:26" ht="19">
      <c r="A1069" s="631"/>
      <c r="B1069" s="631"/>
      <c r="C1069" s="631"/>
      <c r="D1069" s="832"/>
      <c r="E1069" s="631"/>
      <c r="F1069" s="631"/>
      <c r="G1069" s="631"/>
      <c r="H1069" s="833"/>
      <c r="I1069" s="834"/>
      <c r="J1069" s="834"/>
      <c r="K1069" s="835"/>
      <c r="L1069" s="835"/>
      <c r="M1069" s="835"/>
      <c r="N1069" s="835"/>
      <c r="O1069" s="835"/>
      <c r="P1069" s="835"/>
      <c r="Q1069" s="540"/>
      <c r="R1069" s="540"/>
      <c r="S1069" s="540"/>
      <c r="T1069" s="540"/>
      <c r="U1069" s="540"/>
      <c r="V1069" s="540"/>
      <c r="W1069" s="540"/>
      <c r="X1069" s="540"/>
      <c r="Y1069" s="540"/>
      <c r="Z1069" s="540"/>
    </row>
    <row r="1070" spans="1:26" ht="19">
      <c r="A1070" s="631"/>
      <c r="B1070" s="631"/>
      <c r="C1070" s="631"/>
      <c r="D1070" s="832"/>
      <c r="E1070" s="631"/>
      <c r="F1070" s="631"/>
      <c r="G1070" s="631"/>
      <c r="H1070" s="833"/>
      <c r="I1070" s="834"/>
      <c r="J1070" s="834"/>
      <c r="K1070" s="835"/>
      <c r="L1070" s="835"/>
      <c r="M1070" s="835"/>
      <c r="N1070" s="835"/>
      <c r="O1070" s="835"/>
      <c r="P1070" s="835"/>
      <c r="Q1070" s="540"/>
      <c r="R1070" s="540"/>
      <c r="S1070" s="540"/>
      <c r="T1070" s="540"/>
      <c r="U1070" s="540"/>
      <c r="V1070" s="540"/>
      <c r="W1070" s="540"/>
      <c r="X1070" s="540"/>
      <c r="Y1070" s="540"/>
      <c r="Z1070" s="540"/>
    </row>
    <row r="1071" spans="1:26" ht="19">
      <c r="A1071" s="631"/>
      <c r="B1071" s="631"/>
      <c r="C1071" s="631"/>
      <c r="D1071" s="832"/>
      <c r="E1071" s="631"/>
      <c r="F1071" s="631"/>
      <c r="G1071" s="631"/>
      <c r="H1071" s="833"/>
      <c r="I1071" s="834"/>
      <c r="J1071" s="834"/>
      <c r="K1071" s="835"/>
      <c r="L1071" s="835"/>
      <c r="M1071" s="835"/>
      <c r="N1071" s="835"/>
      <c r="O1071" s="835"/>
      <c r="P1071" s="835"/>
      <c r="Q1071" s="540"/>
      <c r="R1071" s="540"/>
      <c r="S1071" s="540"/>
      <c r="T1071" s="540"/>
      <c r="U1071" s="540"/>
      <c r="V1071" s="540"/>
      <c r="W1071" s="540"/>
      <c r="X1071" s="540"/>
      <c r="Y1071" s="540"/>
      <c r="Z1071" s="540"/>
    </row>
    <row r="1072" spans="1:26" ht="19">
      <c r="A1072" s="631"/>
      <c r="B1072" s="631"/>
      <c r="C1072" s="631"/>
      <c r="D1072" s="832"/>
      <c r="E1072" s="631"/>
      <c r="F1072" s="631"/>
      <c r="G1072" s="631"/>
      <c r="H1072" s="833"/>
      <c r="I1072" s="834"/>
      <c r="J1072" s="834"/>
      <c r="K1072" s="835"/>
      <c r="L1072" s="835"/>
      <c r="M1072" s="835"/>
      <c r="N1072" s="835"/>
      <c r="O1072" s="835"/>
      <c r="P1072" s="835"/>
      <c r="Q1072" s="540"/>
      <c r="R1072" s="540"/>
      <c r="S1072" s="540"/>
      <c r="T1072" s="540"/>
      <c r="U1072" s="540"/>
      <c r="V1072" s="540"/>
      <c r="W1072" s="540"/>
      <c r="X1072" s="540"/>
      <c r="Y1072" s="540"/>
      <c r="Z1072" s="540"/>
    </row>
    <row r="1073" spans="1:26" ht="19">
      <c r="A1073" s="631"/>
      <c r="B1073" s="631"/>
      <c r="C1073" s="631"/>
      <c r="D1073" s="832"/>
      <c r="E1073" s="631"/>
      <c r="F1073" s="631"/>
      <c r="G1073" s="631"/>
      <c r="H1073" s="833"/>
      <c r="I1073" s="834"/>
      <c r="J1073" s="834"/>
      <c r="K1073" s="835"/>
      <c r="L1073" s="835"/>
      <c r="M1073" s="835"/>
      <c r="N1073" s="835"/>
      <c r="O1073" s="835"/>
      <c r="P1073" s="835"/>
      <c r="Q1073" s="540"/>
      <c r="R1073" s="540"/>
      <c r="S1073" s="540"/>
      <c r="T1073" s="540"/>
      <c r="U1073" s="540"/>
      <c r="V1073" s="540"/>
      <c r="W1073" s="540"/>
      <c r="X1073" s="540"/>
      <c r="Y1073" s="540"/>
      <c r="Z1073" s="540"/>
    </row>
    <row r="1074" spans="1:26" ht="19">
      <c r="A1074" s="631"/>
      <c r="B1074" s="631"/>
      <c r="C1074" s="631"/>
      <c r="D1074" s="832"/>
      <c r="E1074" s="631"/>
      <c r="F1074" s="631"/>
      <c r="G1074" s="631"/>
      <c r="H1074" s="833"/>
      <c r="I1074" s="834"/>
      <c r="J1074" s="834"/>
      <c r="K1074" s="835"/>
      <c r="L1074" s="835"/>
      <c r="M1074" s="835"/>
      <c r="N1074" s="835"/>
      <c r="O1074" s="835"/>
      <c r="P1074" s="835"/>
      <c r="Q1074" s="540"/>
      <c r="R1074" s="540"/>
      <c r="S1074" s="540"/>
      <c r="T1074" s="540"/>
      <c r="U1074" s="540"/>
      <c r="V1074" s="540"/>
      <c r="W1074" s="540"/>
      <c r="X1074" s="540"/>
      <c r="Y1074" s="540"/>
      <c r="Z1074" s="540"/>
    </row>
    <row r="1075" spans="1:26" ht="19">
      <c r="A1075" s="631"/>
      <c r="B1075" s="631"/>
      <c r="C1075" s="631"/>
      <c r="D1075" s="832"/>
      <c r="E1075" s="631"/>
      <c r="F1075" s="631"/>
      <c r="G1075" s="631"/>
      <c r="H1075" s="833"/>
      <c r="I1075" s="834"/>
      <c r="J1075" s="834"/>
      <c r="K1075" s="835"/>
      <c r="L1075" s="835"/>
      <c r="M1075" s="835"/>
      <c r="N1075" s="835"/>
      <c r="O1075" s="835"/>
      <c r="P1075" s="835"/>
      <c r="Q1075" s="540"/>
      <c r="R1075" s="540"/>
      <c r="S1075" s="540"/>
      <c r="T1075" s="540"/>
      <c r="U1075" s="540"/>
      <c r="V1075" s="540"/>
      <c r="W1075" s="540"/>
      <c r="X1075" s="540"/>
      <c r="Y1075" s="540"/>
      <c r="Z1075" s="540"/>
    </row>
    <row r="1076" spans="1:26" ht="19">
      <c r="A1076" s="631"/>
      <c r="B1076" s="631"/>
      <c r="C1076" s="631"/>
      <c r="D1076" s="832"/>
      <c r="E1076" s="631"/>
      <c r="F1076" s="631"/>
      <c r="G1076" s="631"/>
      <c r="H1076" s="833"/>
      <c r="I1076" s="834"/>
      <c r="J1076" s="834"/>
      <c r="K1076" s="835"/>
      <c r="L1076" s="835"/>
      <c r="M1076" s="835"/>
      <c r="N1076" s="835"/>
      <c r="O1076" s="835"/>
      <c r="P1076" s="835"/>
      <c r="Q1076" s="540"/>
      <c r="R1076" s="540"/>
      <c r="S1076" s="540"/>
      <c r="T1076" s="540"/>
      <c r="U1076" s="540"/>
      <c r="V1076" s="540"/>
      <c r="W1076" s="540"/>
      <c r="X1076" s="540"/>
      <c r="Y1076" s="540"/>
      <c r="Z1076" s="540"/>
    </row>
    <row r="1077" spans="1:26" ht="19">
      <c r="A1077" s="631"/>
      <c r="B1077" s="631"/>
      <c r="C1077" s="631"/>
      <c r="D1077" s="832"/>
      <c r="E1077" s="631"/>
      <c r="F1077" s="631"/>
      <c r="G1077" s="631"/>
      <c r="H1077" s="833"/>
      <c r="I1077" s="834"/>
      <c r="J1077" s="834"/>
      <c r="K1077" s="835"/>
      <c r="L1077" s="835"/>
      <c r="M1077" s="835"/>
      <c r="N1077" s="835"/>
      <c r="O1077" s="835"/>
      <c r="P1077" s="835"/>
      <c r="Q1077" s="540"/>
      <c r="R1077" s="540"/>
      <c r="S1077" s="540"/>
      <c r="T1077" s="540"/>
      <c r="U1077" s="540"/>
      <c r="V1077" s="540"/>
      <c r="W1077" s="540"/>
      <c r="X1077" s="540"/>
      <c r="Y1077" s="540"/>
      <c r="Z1077" s="540"/>
    </row>
    <row r="1078" spans="1:26" ht="19">
      <c r="A1078" s="631"/>
      <c r="B1078" s="631"/>
      <c r="C1078" s="631"/>
      <c r="D1078" s="832"/>
      <c r="E1078" s="631"/>
      <c r="F1078" s="631"/>
      <c r="G1078" s="631"/>
      <c r="H1078" s="833"/>
      <c r="I1078" s="834"/>
      <c r="J1078" s="834"/>
      <c r="K1078" s="835"/>
      <c r="L1078" s="835"/>
      <c r="M1078" s="835"/>
      <c r="N1078" s="835"/>
      <c r="O1078" s="835"/>
      <c r="P1078" s="835"/>
      <c r="Q1078" s="540"/>
      <c r="R1078" s="540"/>
      <c r="S1078" s="540"/>
      <c r="T1078" s="540"/>
      <c r="U1078" s="540"/>
      <c r="V1078" s="540"/>
      <c r="W1078" s="540"/>
      <c r="X1078" s="540"/>
      <c r="Y1078" s="540"/>
      <c r="Z1078" s="540"/>
    </row>
    <row r="1079" spans="1:26" ht="19">
      <c r="A1079" s="631"/>
      <c r="B1079" s="631"/>
      <c r="C1079" s="631"/>
      <c r="D1079" s="832"/>
      <c r="E1079" s="631"/>
      <c r="F1079" s="631"/>
      <c r="G1079" s="631"/>
      <c r="H1079" s="833"/>
      <c r="I1079" s="834"/>
      <c r="J1079" s="834"/>
      <c r="K1079" s="835"/>
      <c r="L1079" s="835"/>
      <c r="M1079" s="835"/>
      <c r="N1079" s="835"/>
      <c r="O1079" s="835"/>
      <c r="P1079" s="835"/>
      <c r="Q1079" s="540"/>
      <c r="R1079" s="540"/>
      <c r="S1079" s="540"/>
      <c r="T1079" s="540"/>
      <c r="U1079" s="540"/>
      <c r="V1079" s="540"/>
      <c r="W1079" s="540"/>
      <c r="X1079" s="540"/>
      <c r="Y1079" s="540"/>
      <c r="Z1079" s="540"/>
    </row>
    <row r="1080" spans="1:26" ht="19">
      <c r="A1080" s="631"/>
      <c r="B1080" s="631"/>
      <c r="C1080" s="631"/>
      <c r="D1080" s="832"/>
      <c r="E1080" s="631"/>
      <c r="F1080" s="631"/>
      <c r="G1080" s="631"/>
      <c r="H1080" s="833"/>
      <c r="I1080" s="834"/>
      <c r="J1080" s="834"/>
      <c r="K1080" s="835"/>
      <c r="L1080" s="835"/>
      <c r="M1080" s="835"/>
      <c r="N1080" s="835"/>
      <c r="O1080" s="835"/>
      <c r="P1080" s="835"/>
      <c r="Q1080" s="540"/>
      <c r="R1080" s="540"/>
      <c r="S1080" s="540"/>
      <c r="T1080" s="540"/>
      <c r="U1080" s="540"/>
      <c r="V1080" s="540"/>
      <c r="W1080" s="540"/>
      <c r="X1080" s="540"/>
      <c r="Y1080" s="540"/>
      <c r="Z1080" s="540"/>
    </row>
    <row r="1081" spans="1:26" ht="19">
      <c r="A1081" s="631"/>
      <c r="B1081" s="631"/>
      <c r="C1081" s="631"/>
      <c r="D1081" s="832"/>
      <c r="E1081" s="631"/>
      <c r="F1081" s="631"/>
      <c r="G1081" s="631"/>
      <c r="H1081" s="833"/>
      <c r="I1081" s="834"/>
      <c r="J1081" s="834"/>
      <c r="K1081" s="835"/>
      <c r="L1081" s="835"/>
      <c r="M1081" s="835"/>
      <c r="N1081" s="835"/>
      <c r="O1081" s="835"/>
      <c r="P1081" s="835"/>
      <c r="Q1081" s="540"/>
      <c r="R1081" s="540"/>
      <c r="S1081" s="540"/>
      <c r="T1081" s="540"/>
      <c r="U1081" s="540"/>
      <c r="V1081" s="540"/>
      <c r="W1081" s="540"/>
      <c r="X1081" s="540"/>
      <c r="Y1081" s="540"/>
      <c r="Z1081" s="540"/>
    </row>
    <row r="1082" spans="1:26" ht="19">
      <c r="A1082" s="631"/>
      <c r="B1082" s="631"/>
      <c r="C1082" s="631"/>
      <c r="D1082" s="832"/>
      <c r="E1082" s="631"/>
      <c r="F1082" s="631"/>
      <c r="G1082" s="631"/>
      <c r="H1082" s="833"/>
      <c r="I1082" s="834"/>
      <c r="J1082" s="834"/>
      <c r="K1082" s="835"/>
      <c r="L1082" s="835"/>
      <c r="M1082" s="835"/>
      <c r="N1082" s="835"/>
      <c r="O1082" s="835"/>
      <c r="P1082" s="835"/>
      <c r="Q1082" s="540"/>
      <c r="R1082" s="540"/>
      <c r="S1082" s="540"/>
      <c r="T1082" s="540"/>
      <c r="U1082" s="540"/>
      <c r="V1082" s="540"/>
      <c r="W1082" s="540"/>
      <c r="X1082" s="540"/>
      <c r="Y1082" s="540"/>
      <c r="Z1082" s="540"/>
    </row>
    <row r="1083" spans="1:26" ht="19">
      <c r="A1083" s="631"/>
      <c r="B1083" s="631"/>
      <c r="C1083" s="631"/>
      <c r="D1083" s="832"/>
      <c r="E1083" s="631"/>
      <c r="F1083" s="631"/>
      <c r="G1083" s="631"/>
      <c r="H1083" s="833"/>
      <c r="I1083" s="834"/>
      <c r="J1083" s="834"/>
      <c r="K1083" s="835"/>
      <c r="L1083" s="835"/>
      <c r="M1083" s="835"/>
      <c r="N1083" s="835"/>
      <c r="O1083" s="835"/>
      <c r="P1083" s="835"/>
      <c r="Q1083" s="540"/>
      <c r="R1083" s="540"/>
      <c r="S1083" s="540"/>
      <c r="T1083" s="540"/>
      <c r="U1083" s="540"/>
      <c r="V1083" s="540"/>
      <c r="W1083" s="540"/>
      <c r="X1083" s="540"/>
      <c r="Y1083" s="540"/>
      <c r="Z1083" s="540"/>
    </row>
    <row r="1084" spans="1:26" ht="19">
      <c r="A1084" s="631"/>
      <c r="B1084" s="631"/>
      <c r="C1084" s="631"/>
      <c r="D1084" s="832"/>
      <c r="E1084" s="631"/>
      <c r="F1084" s="631"/>
      <c r="G1084" s="631"/>
      <c r="H1084" s="833"/>
      <c r="I1084" s="834"/>
      <c r="J1084" s="834"/>
      <c r="K1084" s="835"/>
      <c r="L1084" s="835"/>
      <c r="M1084" s="835"/>
      <c r="N1084" s="835"/>
      <c r="O1084" s="835"/>
      <c r="P1084" s="835"/>
      <c r="Q1084" s="540"/>
      <c r="R1084" s="540"/>
      <c r="S1084" s="540"/>
      <c r="T1084" s="540"/>
      <c r="U1084" s="540"/>
      <c r="V1084" s="540"/>
      <c r="W1084" s="540"/>
      <c r="X1084" s="540"/>
      <c r="Y1084" s="540"/>
      <c r="Z1084" s="540"/>
    </row>
    <row r="1085" spans="1:26" ht="19">
      <c r="A1085" s="631"/>
      <c r="B1085" s="631"/>
      <c r="C1085" s="631"/>
      <c r="D1085" s="832"/>
      <c r="E1085" s="631"/>
      <c r="F1085" s="631"/>
      <c r="G1085" s="631"/>
      <c r="H1085" s="833"/>
      <c r="I1085" s="834"/>
      <c r="J1085" s="834"/>
      <c r="K1085" s="835"/>
      <c r="L1085" s="835"/>
      <c r="M1085" s="835"/>
      <c r="N1085" s="835"/>
      <c r="O1085" s="835"/>
      <c r="P1085" s="835"/>
      <c r="Q1085" s="540"/>
      <c r="R1085" s="540"/>
      <c r="S1085" s="540"/>
      <c r="T1085" s="540"/>
      <c r="U1085" s="540"/>
      <c r="V1085" s="540"/>
      <c r="W1085" s="540"/>
      <c r="X1085" s="540"/>
      <c r="Y1085" s="540"/>
      <c r="Z1085" s="540"/>
    </row>
    <row r="1086" spans="1:26" ht="19">
      <c r="A1086" s="631"/>
      <c r="B1086" s="631"/>
      <c r="C1086" s="631"/>
      <c r="D1086" s="832"/>
      <c r="E1086" s="631"/>
      <c r="F1086" s="631"/>
      <c r="G1086" s="631"/>
      <c r="H1086" s="833"/>
      <c r="I1086" s="834"/>
      <c r="J1086" s="834"/>
      <c r="K1086" s="835"/>
      <c r="L1086" s="835"/>
      <c r="M1086" s="835"/>
      <c r="N1086" s="835"/>
      <c r="O1086" s="835"/>
      <c r="P1086" s="835"/>
      <c r="Q1086" s="540"/>
      <c r="R1086" s="540"/>
      <c r="S1086" s="540"/>
      <c r="T1086" s="540"/>
      <c r="U1086" s="540"/>
      <c r="V1086" s="540"/>
      <c r="W1086" s="540"/>
      <c r="X1086" s="540"/>
      <c r="Y1086" s="540"/>
      <c r="Z1086" s="540"/>
    </row>
    <row r="1087" spans="1:26" ht="19">
      <c r="A1087" s="631"/>
      <c r="B1087" s="631"/>
      <c r="C1087" s="631"/>
      <c r="D1087" s="832"/>
      <c r="E1087" s="631"/>
      <c r="F1087" s="631"/>
      <c r="G1087" s="631"/>
      <c r="H1087" s="833"/>
      <c r="I1087" s="834"/>
      <c r="J1087" s="834"/>
      <c r="K1087" s="835"/>
      <c r="L1087" s="835"/>
      <c r="M1087" s="835"/>
      <c r="N1087" s="835"/>
      <c r="O1087" s="835"/>
      <c r="P1087" s="835"/>
      <c r="Q1087" s="540"/>
      <c r="R1087" s="540"/>
      <c r="S1087" s="540"/>
      <c r="T1087" s="540"/>
      <c r="U1087" s="540"/>
      <c r="V1087" s="540"/>
      <c r="W1087" s="540"/>
      <c r="X1087" s="540"/>
      <c r="Y1087" s="540"/>
      <c r="Z1087" s="540"/>
    </row>
    <row r="1088" spans="1:26" ht="19">
      <c r="A1088" s="631"/>
      <c r="B1088" s="631"/>
      <c r="C1088" s="631"/>
      <c r="D1088" s="832"/>
      <c r="E1088" s="631"/>
      <c r="F1088" s="631"/>
      <c r="G1088" s="631"/>
      <c r="H1088" s="833"/>
      <c r="I1088" s="834"/>
      <c r="J1088" s="834"/>
      <c r="K1088" s="835"/>
      <c r="L1088" s="835"/>
      <c r="M1088" s="835"/>
      <c r="N1088" s="835"/>
      <c r="O1088" s="835"/>
      <c r="P1088" s="835"/>
      <c r="Q1088" s="540"/>
      <c r="R1088" s="540"/>
      <c r="S1088" s="540"/>
      <c r="T1088" s="540"/>
      <c r="U1088" s="540"/>
      <c r="V1088" s="540"/>
      <c r="W1088" s="540"/>
      <c r="X1088" s="540"/>
      <c r="Y1088" s="540"/>
      <c r="Z1088" s="540"/>
    </row>
    <row r="1089" spans="1:26" ht="19">
      <c r="A1089" s="631"/>
      <c r="B1089" s="631"/>
      <c r="C1089" s="631"/>
      <c r="D1089" s="832"/>
      <c r="E1089" s="631"/>
      <c r="F1089" s="631"/>
      <c r="G1089" s="631"/>
      <c r="H1089" s="833"/>
      <c r="I1089" s="834"/>
      <c r="J1089" s="834"/>
      <c r="K1089" s="835"/>
      <c r="L1089" s="835"/>
      <c r="M1089" s="835"/>
      <c r="N1089" s="835"/>
      <c r="O1089" s="835"/>
      <c r="P1089" s="835"/>
      <c r="Q1089" s="540"/>
      <c r="R1089" s="540"/>
      <c r="S1089" s="540"/>
      <c r="T1089" s="540"/>
      <c r="U1089" s="540"/>
      <c r="V1089" s="540"/>
      <c r="W1089" s="540"/>
      <c r="X1089" s="540"/>
      <c r="Y1089" s="540"/>
      <c r="Z1089" s="540"/>
    </row>
    <row r="1090" spans="1:26" ht="19">
      <c r="A1090" s="631"/>
      <c r="B1090" s="631"/>
      <c r="C1090" s="631"/>
      <c r="D1090" s="832"/>
      <c r="E1090" s="631"/>
      <c r="F1090" s="631"/>
      <c r="G1090" s="631"/>
      <c r="H1090" s="833"/>
      <c r="I1090" s="834"/>
      <c r="J1090" s="834"/>
      <c r="K1090" s="835"/>
      <c r="L1090" s="835"/>
      <c r="M1090" s="835"/>
      <c r="N1090" s="835"/>
      <c r="O1090" s="835"/>
      <c r="P1090" s="835"/>
      <c r="Q1090" s="540"/>
      <c r="R1090" s="540"/>
      <c r="S1090" s="540"/>
      <c r="T1090" s="540"/>
      <c r="U1090" s="540"/>
      <c r="V1090" s="540"/>
      <c r="W1090" s="540"/>
      <c r="X1090" s="540"/>
      <c r="Y1090" s="540"/>
      <c r="Z1090" s="540"/>
    </row>
    <row r="1091" spans="1:26" ht="19">
      <c r="A1091" s="631"/>
      <c r="B1091" s="631"/>
      <c r="C1091" s="631"/>
      <c r="D1091" s="832"/>
      <c r="E1091" s="631"/>
      <c r="F1091" s="631"/>
      <c r="G1091" s="631"/>
      <c r="H1091" s="833"/>
      <c r="I1091" s="834"/>
      <c r="J1091" s="834"/>
      <c r="K1091" s="835"/>
      <c r="L1091" s="835"/>
      <c r="M1091" s="835"/>
      <c r="N1091" s="835"/>
      <c r="O1091" s="835"/>
      <c r="P1091" s="835"/>
      <c r="Q1091" s="540"/>
      <c r="R1091" s="540"/>
      <c r="S1091" s="540"/>
      <c r="T1091" s="540"/>
      <c r="U1091" s="540"/>
      <c r="V1091" s="540"/>
      <c r="W1091" s="540"/>
      <c r="X1091" s="540"/>
      <c r="Y1091" s="540"/>
      <c r="Z1091" s="540"/>
    </row>
    <row r="1092" spans="1:26" ht="19">
      <c r="A1092" s="631"/>
      <c r="B1092" s="631"/>
      <c r="C1092" s="631"/>
      <c r="D1092" s="832"/>
      <c r="E1092" s="631"/>
      <c r="F1092" s="631"/>
      <c r="G1092" s="631"/>
      <c r="H1092" s="833"/>
      <c r="I1092" s="834"/>
      <c r="J1092" s="834"/>
      <c r="K1092" s="835"/>
      <c r="L1092" s="835"/>
      <c r="M1092" s="835"/>
      <c r="N1092" s="835"/>
      <c r="O1092" s="835"/>
      <c r="P1092" s="835"/>
      <c r="Q1092" s="540"/>
      <c r="R1092" s="540"/>
      <c r="S1092" s="540"/>
      <c r="T1092" s="540"/>
      <c r="U1092" s="540"/>
      <c r="V1092" s="540"/>
      <c r="W1092" s="540"/>
      <c r="X1092" s="540"/>
      <c r="Y1092" s="540"/>
      <c r="Z1092" s="540"/>
    </row>
    <row r="1093" spans="1:26" ht="19">
      <c r="A1093" s="631"/>
      <c r="B1093" s="631"/>
      <c r="C1093" s="631"/>
      <c r="D1093" s="832"/>
      <c r="E1093" s="631"/>
      <c r="F1093" s="631"/>
      <c r="G1093" s="631"/>
      <c r="H1093" s="833"/>
      <c r="I1093" s="834"/>
      <c r="J1093" s="834"/>
      <c r="K1093" s="835"/>
      <c r="L1093" s="835"/>
      <c r="M1093" s="835"/>
      <c r="N1093" s="835"/>
      <c r="O1093" s="835"/>
      <c r="P1093" s="835"/>
      <c r="Q1093" s="540"/>
      <c r="R1093" s="540"/>
      <c r="S1093" s="540"/>
      <c r="T1093" s="540"/>
      <c r="U1093" s="540"/>
      <c r="V1093" s="540"/>
      <c r="W1093" s="540"/>
      <c r="X1093" s="540"/>
      <c r="Y1093" s="540"/>
      <c r="Z1093" s="540"/>
    </row>
    <row r="1094" spans="1:26" ht="19">
      <c r="A1094" s="631"/>
      <c r="B1094" s="631"/>
      <c r="C1094" s="631"/>
      <c r="D1094" s="832"/>
      <c r="E1094" s="631"/>
      <c r="F1094" s="631"/>
      <c r="G1094" s="631"/>
      <c r="H1094" s="833"/>
      <c r="I1094" s="834"/>
      <c r="J1094" s="834"/>
      <c r="K1094" s="835"/>
      <c r="L1094" s="835"/>
      <c r="M1094" s="835"/>
      <c r="N1094" s="835"/>
      <c r="O1094" s="835"/>
      <c r="P1094" s="835"/>
      <c r="Q1094" s="540"/>
      <c r="R1094" s="540"/>
      <c r="S1094" s="540"/>
      <c r="T1094" s="540"/>
      <c r="U1094" s="540"/>
      <c r="V1094" s="540"/>
      <c r="W1094" s="540"/>
      <c r="X1094" s="540"/>
      <c r="Y1094" s="540"/>
      <c r="Z1094" s="540"/>
    </row>
    <row r="1095" spans="1:26" ht="19">
      <c r="A1095" s="631"/>
      <c r="B1095" s="631"/>
      <c r="C1095" s="631"/>
      <c r="D1095" s="832"/>
      <c r="E1095" s="631"/>
      <c r="F1095" s="631"/>
      <c r="G1095" s="631"/>
      <c r="H1095" s="833"/>
      <c r="I1095" s="834"/>
      <c r="J1095" s="834"/>
      <c r="K1095" s="835"/>
      <c r="L1095" s="835"/>
      <c r="M1095" s="835"/>
      <c r="N1095" s="835"/>
      <c r="O1095" s="835"/>
      <c r="P1095" s="835"/>
      <c r="Q1095" s="540"/>
      <c r="R1095" s="540"/>
      <c r="S1095" s="540"/>
      <c r="T1095" s="540"/>
      <c r="U1095" s="540"/>
      <c r="V1095" s="540"/>
      <c r="W1095" s="540"/>
      <c r="X1095" s="540"/>
      <c r="Y1095" s="540"/>
      <c r="Z1095" s="540"/>
    </row>
    <row r="1096" spans="1:26" ht="19">
      <c r="A1096" s="631"/>
      <c r="B1096" s="631"/>
      <c r="C1096" s="631"/>
      <c r="D1096" s="832"/>
      <c r="E1096" s="631"/>
      <c r="F1096" s="631"/>
      <c r="G1096" s="631"/>
      <c r="H1096" s="833"/>
      <c r="I1096" s="834"/>
      <c r="J1096" s="834"/>
      <c r="K1096" s="835"/>
      <c r="L1096" s="835"/>
      <c r="M1096" s="835"/>
      <c r="N1096" s="835"/>
      <c r="O1096" s="835"/>
      <c r="P1096" s="835"/>
      <c r="Q1096" s="540"/>
      <c r="R1096" s="540"/>
      <c r="S1096" s="540"/>
      <c r="T1096" s="540"/>
      <c r="U1096" s="540"/>
      <c r="V1096" s="540"/>
      <c r="W1096" s="540"/>
      <c r="X1096" s="540"/>
      <c r="Y1096" s="540"/>
      <c r="Z1096" s="540"/>
    </row>
    <row r="1097" spans="1:26" ht="19">
      <c r="A1097" s="631"/>
      <c r="B1097" s="631"/>
      <c r="C1097" s="631"/>
      <c r="D1097" s="832"/>
      <c r="E1097" s="631"/>
      <c r="F1097" s="631"/>
      <c r="G1097" s="631"/>
      <c r="H1097" s="833"/>
      <c r="I1097" s="834"/>
      <c r="J1097" s="834"/>
      <c r="K1097" s="835"/>
      <c r="L1097" s="835"/>
      <c r="M1097" s="835"/>
      <c r="N1097" s="835"/>
      <c r="O1097" s="835"/>
      <c r="P1097" s="835"/>
      <c r="Q1097" s="540"/>
      <c r="R1097" s="540"/>
      <c r="S1097" s="540"/>
      <c r="T1097" s="540"/>
      <c r="U1097" s="540"/>
      <c r="V1097" s="540"/>
      <c r="W1097" s="540"/>
      <c r="X1097" s="540"/>
      <c r="Y1097" s="540"/>
      <c r="Z1097" s="540"/>
    </row>
    <row r="1098" spans="1:26" ht="19">
      <c r="A1098" s="631"/>
      <c r="B1098" s="631"/>
      <c r="C1098" s="631"/>
      <c r="D1098" s="832"/>
      <c r="E1098" s="631"/>
      <c r="F1098" s="631"/>
      <c r="G1098" s="631"/>
      <c r="H1098" s="833"/>
      <c r="I1098" s="834"/>
      <c r="J1098" s="834"/>
      <c r="K1098" s="835"/>
      <c r="L1098" s="835"/>
      <c r="M1098" s="835"/>
      <c r="N1098" s="835"/>
      <c r="O1098" s="835"/>
      <c r="P1098" s="835"/>
      <c r="Q1098" s="540"/>
      <c r="R1098" s="540"/>
      <c r="S1098" s="540"/>
      <c r="T1098" s="540"/>
      <c r="U1098" s="540"/>
      <c r="V1098" s="540"/>
      <c r="W1098" s="540"/>
      <c r="X1098" s="540"/>
      <c r="Y1098" s="540"/>
      <c r="Z1098" s="540"/>
    </row>
    <row r="1099" spans="1:26" ht="19">
      <c r="A1099" s="631"/>
      <c r="B1099" s="631"/>
      <c r="C1099" s="631"/>
      <c r="D1099" s="832"/>
      <c r="E1099" s="631"/>
      <c r="F1099" s="631"/>
      <c r="G1099" s="631"/>
      <c r="H1099" s="833"/>
      <c r="I1099" s="834"/>
      <c r="J1099" s="834"/>
      <c r="K1099" s="835"/>
      <c r="L1099" s="835"/>
      <c r="M1099" s="835"/>
      <c r="N1099" s="835"/>
      <c r="O1099" s="835"/>
      <c r="P1099" s="835"/>
      <c r="Q1099" s="540"/>
      <c r="R1099" s="540"/>
      <c r="S1099" s="540"/>
      <c r="T1099" s="540"/>
      <c r="U1099" s="540"/>
      <c r="V1099" s="540"/>
      <c r="W1099" s="540"/>
      <c r="X1099" s="540"/>
      <c r="Y1099" s="540"/>
      <c r="Z1099" s="540"/>
    </row>
    <row r="1100" spans="1:26" ht="19">
      <c r="A1100" s="631"/>
      <c r="B1100" s="631"/>
      <c r="C1100" s="631"/>
      <c r="D1100" s="832"/>
      <c r="E1100" s="631"/>
      <c r="F1100" s="631"/>
      <c r="G1100" s="631"/>
      <c r="H1100" s="833"/>
      <c r="I1100" s="834"/>
      <c r="J1100" s="834"/>
      <c r="K1100" s="835"/>
      <c r="L1100" s="835"/>
      <c r="M1100" s="835"/>
      <c r="N1100" s="835"/>
      <c r="O1100" s="835"/>
      <c r="P1100" s="835"/>
      <c r="Q1100" s="540"/>
      <c r="R1100" s="540"/>
      <c r="S1100" s="540"/>
      <c r="T1100" s="540"/>
      <c r="U1100" s="540"/>
      <c r="V1100" s="540"/>
      <c r="W1100" s="540"/>
      <c r="X1100" s="540"/>
      <c r="Y1100" s="540"/>
      <c r="Z1100" s="540"/>
    </row>
    <row r="1101" spans="1:26" ht="19">
      <c r="A1101" s="631"/>
      <c r="B1101" s="631"/>
      <c r="C1101" s="631"/>
      <c r="D1101" s="832"/>
      <c r="E1101" s="631"/>
      <c r="F1101" s="631"/>
      <c r="G1101" s="631"/>
      <c r="H1101" s="833"/>
      <c r="I1101" s="834"/>
      <c r="J1101" s="834"/>
      <c r="K1101" s="835"/>
      <c r="L1101" s="835"/>
      <c r="M1101" s="835"/>
      <c r="N1101" s="835"/>
      <c r="O1101" s="835"/>
      <c r="P1101" s="835"/>
      <c r="Q1101" s="540"/>
      <c r="R1101" s="540"/>
      <c r="S1101" s="540"/>
      <c r="T1101" s="540"/>
      <c r="U1101" s="540"/>
      <c r="V1101" s="540"/>
      <c r="W1101" s="540"/>
      <c r="X1101" s="540"/>
      <c r="Y1101" s="540"/>
      <c r="Z1101" s="540"/>
    </row>
    <row r="1102" spans="1:26" ht="19">
      <c r="A1102" s="631"/>
      <c r="B1102" s="631"/>
      <c r="C1102" s="631"/>
      <c r="D1102" s="832"/>
      <c r="E1102" s="631"/>
      <c r="F1102" s="631"/>
      <c r="G1102" s="631"/>
      <c r="H1102" s="833"/>
      <c r="I1102" s="834"/>
      <c r="J1102" s="834"/>
      <c r="K1102" s="835"/>
      <c r="L1102" s="835"/>
      <c r="M1102" s="835"/>
      <c r="N1102" s="835"/>
      <c r="O1102" s="835"/>
      <c r="P1102" s="835"/>
      <c r="Q1102" s="540"/>
      <c r="R1102" s="540"/>
      <c r="S1102" s="540"/>
      <c r="T1102" s="540"/>
      <c r="U1102" s="540"/>
      <c r="V1102" s="540"/>
      <c r="W1102" s="540"/>
      <c r="X1102" s="540"/>
      <c r="Y1102" s="540"/>
      <c r="Z1102" s="540"/>
    </row>
    <row r="1103" spans="1:26" ht="19">
      <c r="A1103" s="631"/>
      <c r="B1103" s="631"/>
      <c r="C1103" s="631"/>
      <c r="D1103" s="832"/>
      <c r="E1103" s="631"/>
      <c r="F1103" s="631"/>
      <c r="G1103" s="631"/>
      <c r="H1103" s="833"/>
      <c r="I1103" s="834"/>
      <c r="J1103" s="834"/>
      <c r="K1103" s="835"/>
      <c r="L1103" s="835"/>
      <c r="M1103" s="835"/>
      <c r="N1103" s="835"/>
      <c r="O1103" s="835"/>
      <c r="P1103" s="835"/>
      <c r="Q1103" s="540"/>
      <c r="R1103" s="540"/>
      <c r="S1103" s="540"/>
      <c r="T1103" s="540"/>
      <c r="U1103" s="540"/>
      <c r="V1103" s="540"/>
      <c r="W1103" s="540"/>
      <c r="X1103" s="540"/>
      <c r="Y1103" s="540"/>
      <c r="Z1103" s="540"/>
    </row>
    <row r="1104" spans="1:26" ht="19">
      <c r="A1104" s="631"/>
      <c r="B1104" s="631"/>
      <c r="C1104" s="631"/>
      <c r="D1104" s="832"/>
      <c r="E1104" s="631"/>
      <c r="F1104" s="631"/>
      <c r="G1104" s="631"/>
      <c r="H1104" s="833"/>
      <c r="I1104" s="834"/>
      <c r="J1104" s="834"/>
      <c r="K1104" s="835"/>
      <c r="L1104" s="835"/>
      <c r="M1104" s="835"/>
      <c r="N1104" s="835"/>
      <c r="O1104" s="835"/>
      <c r="P1104" s="835"/>
      <c r="Q1104" s="540"/>
      <c r="R1104" s="540"/>
      <c r="S1104" s="540"/>
      <c r="T1104" s="540"/>
      <c r="U1104" s="540"/>
      <c r="V1104" s="540"/>
      <c r="W1104" s="540"/>
      <c r="X1104" s="540"/>
      <c r="Y1104" s="540"/>
      <c r="Z1104" s="540"/>
    </row>
    <row r="1105" spans="1:26" ht="19">
      <c r="A1105" s="631"/>
      <c r="B1105" s="631"/>
      <c r="C1105" s="631"/>
      <c r="D1105" s="832"/>
      <c r="E1105" s="631"/>
      <c r="F1105" s="631"/>
      <c r="G1105" s="631"/>
      <c r="H1105" s="833"/>
      <c r="I1105" s="834"/>
      <c r="J1105" s="834"/>
      <c r="K1105" s="835"/>
      <c r="L1105" s="835"/>
      <c r="M1105" s="835"/>
      <c r="N1105" s="835"/>
      <c r="O1105" s="835"/>
      <c r="P1105" s="835"/>
      <c r="Q1105" s="540"/>
      <c r="R1105" s="540"/>
      <c r="S1105" s="540"/>
      <c r="T1105" s="540"/>
      <c r="U1105" s="540"/>
      <c r="V1105" s="540"/>
      <c r="W1105" s="540"/>
      <c r="X1105" s="540"/>
      <c r="Y1105" s="540"/>
      <c r="Z1105" s="540"/>
    </row>
    <row r="1106" spans="1:26" ht="19">
      <c r="A1106" s="631"/>
      <c r="B1106" s="631"/>
      <c r="C1106" s="631"/>
      <c r="D1106" s="832"/>
      <c r="E1106" s="631"/>
      <c r="F1106" s="631"/>
      <c r="G1106" s="631"/>
      <c r="H1106" s="833"/>
      <c r="I1106" s="834"/>
      <c r="J1106" s="834"/>
      <c r="K1106" s="835"/>
      <c r="L1106" s="835"/>
      <c r="M1106" s="835"/>
      <c r="N1106" s="835"/>
      <c r="O1106" s="835"/>
      <c r="P1106" s="835"/>
      <c r="Q1106" s="540"/>
      <c r="R1106" s="540"/>
      <c r="S1106" s="540"/>
      <c r="T1106" s="540"/>
      <c r="U1106" s="540"/>
      <c r="V1106" s="540"/>
      <c r="W1106" s="540"/>
      <c r="X1106" s="540"/>
      <c r="Y1106" s="540"/>
      <c r="Z1106" s="540"/>
    </row>
    <row r="1107" spans="1:26" ht="19">
      <c r="A1107" s="631"/>
      <c r="B1107" s="631"/>
      <c r="C1107" s="631"/>
      <c r="D1107" s="832"/>
      <c r="E1107" s="631"/>
      <c r="F1107" s="631"/>
      <c r="G1107" s="631"/>
      <c r="H1107" s="833"/>
      <c r="I1107" s="834"/>
      <c r="J1107" s="834"/>
      <c r="K1107" s="835"/>
      <c r="L1107" s="835"/>
      <c r="M1107" s="835"/>
      <c r="N1107" s="835"/>
      <c r="O1107" s="835"/>
      <c r="P1107" s="835"/>
      <c r="Q1107" s="540"/>
      <c r="R1107" s="540"/>
      <c r="S1107" s="540"/>
      <c r="T1107" s="540"/>
      <c r="U1107" s="540"/>
      <c r="V1107" s="540"/>
      <c r="W1107" s="540"/>
      <c r="X1107" s="540"/>
      <c r="Y1107" s="540"/>
      <c r="Z1107" s="540"/>
    </row>
    <row r="1108" spans="1:26" ht="19">
      <c r="A1108" s="631"/>
      <c r="B1108" s="631"/>
      <c r="C1108" s="631"/>
      <c r="D1108" s="832"/>
      <c r="E1108" s="631"/>
      <c r="F1108" s="631"/>
      <c r="G1108" s="631"/>
      <c r="H1108" s="833"/>
      <c r="I1108" s="834"/>
      <c r="J1108" s="834"/>
      <c r="K1108" s="835"/>
      <c r="L1108" s="835"/>
      <c r="M1108" s="835"/>
      <c r="N1108" s="835"/>
      <c r="O1108" s="835"/>
      <c r="P1108" s="835"/>
      <c r="Q1108" s="540"/>
      <c r="R1108" s="540"/>
      <c r="S1108" s="540"/>
      <c r="T1108" s="540"/>
      <c r="U1108" s="540"/>
      <c r="V1108" s="540"/>
      <c r="W1108" s="540"/>
      <c r="X1108" s="540"/>
      <c r="Y1108" s="540"/>
      <c r="Z1108" s="540"/>
    </row>
    <row r="1109" spans="1:26" ht="19">
      <c r="A1109" s="631"/>
      <c r="B1109" s="631"/>
      <c r="C1109" s="631"/>
      <c r="D1109" s="832"/>
      <c r="E1109" s="631"/>
      <c r="F1109" s="631"/>
      <c r="G1109" s="631"/>
      <c r="H1109" s="833"/>
      <c r="I1109" s="834"/>
      <c r="J1109" s="834"/>
      <c r="K1109" s="835"/>
      <c r="L1109" s="835"/>
      <c r="M1109" s="835"/>
      <c r="N1109" s="835"/>
      <c r="O1109" s="835"/>
      <c r="P1109" s="835"/>
      <c r="Q1109" s="540"/>
      <c r="R1109" s="540"/>
      <c r="S1109" s="540"/>
      <c r="T1109" s="540"/>
      <c r="U1109" s="540"/>
      <c r="V1109" s="540"/>
      <c r="W1109" s="540"/>
      <c r="X1109" s="540"/>
      <c r="Y1109" s="540"/>
      <c r="Z1109" s="540"/>
    </row>
    <row r="1110" spans="1:26" ht="19">
      <c r="A1110" s="631"/>
      <c r="B1110" s="631"/>
      <c r="C1110" s="631"/>
      <c r="D1110" s="832"/>
      <c r="E1110" s="631"/>
      <c r="F1110" s="631"/>
      <c r="G1110" s="631"/>
      <c r="H1110" s="833"/>
      <c r="I1110" s="834"/>
      <c r="J1110" s="834"/>
      <c r="K1110" s="835"/>
      <c r="L1110" s="835"/>
      <c r="M1110" s="835"/>
      <c r="N1110" s="835"/>
      <c r="O1110" s="835"/>
      <c r="P1110" s="835"/>
      <c r="Q1110" s="540"/>
      <c r="R1110" s="540"/>
      <c r="S1110" s="540"/>
      <c r="T1110" s="540"/>
      <c r="U1110" s="540"/>
      <c r="V1110" s="540"/>
      <c r="W1110" s="540"/>
      <c r="X1110" s="540"/>
      <c r="Y1110" s="540"/>
      <c r="Z1110" s="540"/>
    </row>
    <row r="1111" spans="1:26" ht="19">
      <c r="A1111" s="631"/>
      <c r="B1111" s="631"/>
      <c r="C1111" s="631"/>
      <c r="D1111" s="832"/>
      <c r="E1111" s="631"/>
      <c r="F1111" s="631"/>
      <c r="G1111" s="631"/>
      <c r="H1111" s="833"/>
      <c r="I1111" s="834"/>
      <c r="J1111" s="834"/>
      <c r="K1111" s="835"/>
      <c r="L1111" s="835"/>
      <c r="M1111" s="835"/>
      <c r="N1111" s="835"/>
      <c r="O1111" s="835"/>
      <c r="P1111" s="835"/>
      <c r="Q1111" s="540"/>
      <c r="R1111" s="540"/>
      <c r="S1111" s="540"/>
      <c r="T1111" s="540"/>
      <c r="U1111" s="540"/>
      <c r="V1111" s="540"/>
      <c r="W1111" s="540"/>
      <c r="X1111" s="540"/>
      <c r="Y1111" s="540"/>
      <c r="Z1111" s="540"/>
    </row>
    <row r="1112" spans="1:26" ht="19">
      <c r="A1112" s="631"/>
      <c r="B1112" s="631"/>
      <c r="C1112" s="631"/>
      <c r="D1112" s="832"/>
      <c r="E1112" s="631"/>
      <c r="F1112" s="631"/>
      <c r="G1112" s="631"/>
      <c r="H1112" s="833"/>
      <c r="I1112" s="834"/>
      <c r="J1112" s="834"/>
      <c r="K1112" s="835"/>
      <c r="L1112" s="835"/>
      <c r="M1112" s="835"/>
      <c r="N1112" s="835"/>
      <c r="O1112" s="835"/>
      <c r="P1112" s="835"/>
      <c r="Q1112" s="540"/>
      <c r="R1112" s="540"/>
      <c r="S1112" s="540"/>
      <c r="T1112" s="540"/>
      <c r="U1112" s="540"/>
      <c r="V1112" s="540"/>
      <c r="W1112" s="540"/>
      <c r="X1112" s="540"/>
      <c r="Y1112" s="540"/>
      <c r="Z1112" s="540"/>
    </row>
    <row r="1113" spans="1:26" ht="19">
      <c r="A1113" s="631"/>
      <c r="B1113" s="631"/>
      <c r="C1113" s="631"/>
      <c r="D1113" s="832"/>
      <c r="E1113" s="631"/>
      <c r="F1113" s="631"/>
      <c r="G1113" s="631"/>
      <c r="H1113" s="833"/>
      <c r="I1113" s="834"/>
      <c r="J1113" s="834"/>
      <c r="K1113" s="835"/>
      <c r="L1113" s="835"/>
      <c r="M1113" s="835"/>
      <c r="N1113" s="835"/>
      <c r="O1113" s="835"/>
      <c r="P1113" s="835"/>
      <c r="Q1113" s="540"/>
      <c r="R1113" s="540"/>
      <c r="S1113" s="540"/>
      <c r="T1113" s="540"/>
      <c r="U1113" s="540"/>
      <c r="V1113" s="540"/>
      <c r="W1113" s="540"/>
      <c r="X1113" s="540"/>
      <c r="Y1113" s="540"/>
      <c r="Z1113" s="540"/>
    </row>
    <row r="1114" spans="1:26" ht="19">
      <c r="A1114" s="631"/>
      <c r="B1114" s="631"/>
      <c r="C1114" s="631"/>
      <c r="D1114" s="832"/>
      <c r="E1114" s="631"/>
      <c r="F1114" s="631"/>
      <c r="G1114" s="631"/>
      <c r="H1114" s="833"/>
      <c r="I1114" s="834"/>
      <c r="J1114" s="834"/>
      <c r="K1114" s="835"/>
      <c r="L1114" s="835"/>
      <c r="M1114" s="835"/>
      <c r="N1114" s="835"/>
      <c r="O1114" s="835"/>
      <c r="P1114" s="835"/>
      <c r="Q1114" s="540"/>
      <c r="R1114" s="540"/>
      <c r="S1114" s="540"/>
      <c r="T1114" s="540"/>
      <c r="U1114" s="540"/>
      <c r="V1114" s="540"/>
      <c r="W1114" s="540"/>
      <c r="X1114" s="540"/>
      <c r="Y1114" s="540"/>
      <c r="Z1114" s="540"/>
    </row>
    <row r="1115" spans="1:26" ht="19">
      <c r="A1115" s="631"/>
      <c r="B1115" s="631"/>
      <c r="C1115" s="631"/>
      <c r="D1115" s="832"/>
      <c r="E1115" s="631"/>
      <c r="F1115" s="631"/>
      <c r="G1115" s="631"/>
      <c r="H1115" s="833"/>
      <c r="I1115" s="834"/>
      <c r="J1115" s="834"/>
      <c r="K1115" s="835"/>
      <c r="L1115" s="835"/>
      <c r="M1115" s="835"/>
      <c r="N1115" s="835"/>
      <c r="O1115" s="835"/>
      <c r="P1115" s="835"/>
      <c r="Q1115" s="540"/>
      <c r="R1115" s="540"/>
      <c r="S1115" s="540"/>
      <c r="T1115" s="540"/>
      <c r="U1115" s="540"/>
      <c r="V1115" s="540"/>
      <c r="W1115" s="540"/>
      <c r="X1115" s="540"/>
      <c r="Y1115" s="540"/>
      <c r="Z1115" s="540"/>
    </row>
    <row r="1116" spans="1:26" ht="19">
      <c r="A1116" s="631"/>
      <c r="B1116" s="631"/>
      <c r="C1116" s="631"/>
      <c r="D1116" s="832"/>
      <c r="E1116" s="631"/>
      <c r="F1116" s="631"/>
      <c r="G1116" s="631"/>
      <c r="H1116" s="833"/>
      <c r="I1116" s="834"/>
      <c r="J1116" s="834"/>
      <c r="K1116" s="835"/>
      <c r="L1116" s="835"/>
      <c r="M1116" s="835"/>
      <c r="N1116" s="835"/>
      <c r="O1116" s="835"/>
      <c r="P1116" s="835"/>
      <c r="Q1116" s="540"/>
      <c r="R1116" s="540"/>
      <c r="S1116" s="540"/>
      <c r="T1116" s="540"/>
      <c r="U1116" s="540"/>
      <c r="V1116" s="540"/>
      <c r="W1116" s="540"/>
      <c r="X1116" s="540"/>
      <c r="Y1116" s="540"/>
      <c r="Z1116" s="540"/>
    </row>
    <row r="1117" spans="1:26" ht="19">
      <c r="A1117" s="631"/>
      <c r="B1117" s="631"/>
      <c r="C1117" s="631"/>
      <c r="D1117" s="832"/>
      <c r="E1117" s="631"/>
      <c r="F1117" s="631"/>
      <c r="G1117" s="631"/>
      <c r="H1117" s="833"/>
      <c r="I1117" s="834"/>
      <c r="J1117" s="834"/>
      <c r="K1117" s="835"/>
      <c r="L1117" s="835"/>
      <c r="M1117" s="835"/>
      <c r="N1117" s="835"/>
      <c r="O1117" s="835"/>
      <c r="P1117" s="835"/>
      <c r="Q1117" s="540"/>
      <c r="R1117" s="540"/>
      <c r="S1117" s="540"/>
      <c r="T1117" s="540"/>
      <c r="U1117" s="540"/>
      <c r="V1117" s="540"/>
      <c r="W1117" s="540"/>
      <c r="X1117" s="540"/>
      <c r="Y1117" s="540"/>
      <c r="Z1117" s="540"/>
    </row>
    <row r="1118" spans="1:26" ht="19">
      <c r="A1118" s="631"/>
      <c r="B1118" s="631"/>
      <c r="C1118" s="631"/>
      <c r="D1118" s="832"/>
      <c r="E1118" s="631"/>
      <c r="F1118" s="631"/>
      <c r="G1118" s="631"/>
      <c r="H1118" s="833"/>
      <c r="I1118" s="834"/>
      <c r="J1118" s="834"/>
      <c r="K1118" s="835"/>
      <c r="L1118" s="835"/>
      <c r="M1118" s="835"/>
      <c r="N1118" s="835"/>
      <c r="O1118" s="835"/>
      <c r="P1118" s="835"/>
      <c r="Q1118" s="540"/>
      <c r="R1118" s="540"/>
      <c r="S1118" s="540"/>
      <c r="T1118" s="540"/>
      <c r="U1118" s="540"/>
      <c r="V1118" s="540"/>
      <c r="W1118" s="540"/>
      <c r="X1118" s="540"/>
      <c r="Y1118" s="540"/>
      <c r="Z1118" s="540"/>
    </row>
    <row r="1119" spans="1:26" ht="19">
      <c r="A1119" s="631"/>
      <c r="B1119" s="631"/>
      <c r="C1119" s="631"/>
      <c r="D1119" s="832"/>
      <c r="E1119" s="631"/>
      <c r="F1119" s="631"/>
      <c r="G1119" s="631"/>
      <c r="H1119" s="833"/>
      <c r="I1119" s="834"/>
      <c r="J1119" s="834"/>
      <c r="K1119" s="835"/>
      <c r="L1119" s="835"/>
      <c r="M1119" s="835"/>
      <c r="N1119" s="835"/>
      <c r="O1119" s="835"/>
      <c r="P1119" s="835"/>
      <c r="Q1119" s="540"/>
      <c r="R1119" s="540"/>
      <c r="S1119" s="540"/>
      <c r="T1119" s="540"/>
      <c r="U1119" s="540"/>
      <c r="V1119" s="540"/>
      <c r="W1119" s="540"/>
      <c r="X1119" s="540"/>
      <c r="Y1119" s="540"/>
      <c r="Z1119" s="540"/>
    </row>
    <row r="1120" spans="1:26" ht="19">
      <c r="A1120" s="631"/>
      <c r="B1120" s="631"/>
      <c r="C1120" s="631"/>
      <c r="D1120" s="832"/>
      <c r="E1120" s="631"/>
      <c r="F1120" s="631"/>
      <c r="G1120" s="631"/>
      <c r="H1120" s="833"/>
      <c r="I1120" s="834"/>
      <c r="J1120" s="834"/>
      <c r="K1120" s="835"/>
      <c r="L1120" s="835"/>
      <c r="M1120" s="835"/>
      <c r="N1120" s="835"/>
      <c r="O1120" s="835"/>
      <c r="P1120" s="835"/>
      <c r="Q1120" s="540"/>
      <c r="R1120" s="540"/>
      <c r="S1120" s="540"/>
      <c r="T1120" s="540"/>
      <c r="U1120" s="540"/>
      <c r="V1120" s="540"/>
      <c r="W1120" s="540"/>
      <c r="X1120" s="540"/>
      <c r="Y1120" s="540"/>
      <c r="Z1120" s="540"/>
    </row>
    <row r="1121" spans="1:26" ht="19">
      <c r="A1121" s="631"/>
      <c r="B1121" s="631"/>
      <c r="C1121" s="631"/>
      <c r="D1121" s="832"/>
      <c r="E1121" s="631"/>
      <c r="F1121" s="631"/>
      <c r="G1121" s="631"/>
      <c r="H1121" s="833"/>
      <c r="I1121" s="834"/>
      <c r="J1121" s="834"/>
      <c r="K1121" s="835"/>
      <c r="L1121" s="835"/>
      <c r="M1121" s="835"/>
      <c r="N1121" s="835"/>
      <c r="O1121" s="835"/>
      <c r="P1121" s="835"/>
      <c r="Q1121" s="540"/>
      <c r="R1121" s="540"/>
      <c r="S1121" s="540"/>
      <c r="T1121" s="540"/>
      <c r="U1121" s="540"/>
      <c r="V1121" s="540"/>
      <c r="W1121" s="540"/>
      <c r="X1121" s="540"/>
      <c r="Y1121" s="540"/>
      <c r="Z1121" s="540"/>
    </row>
    <row r="1122" spans="1:26" ht="19">
      <c r="A1122" s="631"/>
      <c r="B1122" s="631"/>
      <c r="C1122" s="631"/>
      <c r="D1122" s="832"/>
      <c r="E1122" s="631"/>
      <c r="F1122" s="631"/>
      <c r="G1122" s="631"/>
      <c r="H1122" s="833"/>
      <c r="I1122" s="834"/>
      <c r="J1122" s="834"/>
      <c r="K1122" s="835"/>
      <c r="L1122" s="835"/>
      <c r="M1122" s="835"/>
      <c r="N1122" s="835"/>
      <c r="O1122" s="835"/>
      <c r="P1122" s="835"/>
      <c r="Q1122" s="540"/>
      <c r="R1122" s="540"/>
      <c r="S1122" s="540"/>
      <c r="T1122" s="540"/>
      <c r="U1122" s="540"/>
      <c r="V1122" s="540"/>
      <c r="W1122" s="540"/>
      <c r="X1122" s="540"/>
      <c r="Y1122" s="540"/>
      <c r="Z1122" s="540"/>
    </row>
    <row r="1123" spans="1:26" ht="19">
      <c r="A1123" s="631"/>
      <c r="B1123" s="631"/>
      <c r="C1123" s="631"/>
      <c r="D1123" s="832"/>
      <c r="E1123" s="631"/>
      <c r="F1123" s="631"/>
      <c r="G1123" s="631"/>
      <c r="H1123" s="833"/>
      <c r="I1123" s="834"/>
      <c r="J1123" s="834"/>
      <c r="K1123" s="835"/>
      <c r="L1123" s="835"/>
      <c r="M1123" s="835"/>
      <c r="N1123" s="835"/>
      <c r="O1123" s="835"/>
      <c r="P1123" s="835"/>
      <c r="Q1123" s="540"/>
      <c r="R1123" s="540"/>
      <c r="S1123" s="540"/>
      <c r="T1123" s="540"/>
      <c r="U1123" s="540"/>
      <c r="V1123" s="540"/>
      <c r="W1123" s="540"/>
      <c r="X1123" s="540"/>
      <c r="Y1123" s="540"/>
      <c r="Z1123" s="540"/>
    </row>
    <row r="1124" spans="1:26" ht="19">
      <c r="A1124" s="631"/>
      <c r="B1124" s="631"/>
      <c r="C1124" s="631"/>
      <c r="D1124" s="832"/>
      <c r="E1124" s="631"/>
      <c r="F1124" s="631"/>
      <c r="G1124" s="631"/>
      <c r="H1124" s="833"/>
      <c r="I1124" s="834"/>
      <c r="J1124" s="834"/>
      <c r="K1124" s="835"/>
      <c r="L1124" s="835"/>
      <c r="M1124" s="835"/>
      <c r="N1124" s="835"/>
      <c r="O1124" s="835"/>
      <c r="P1124" s="835"/>
      <c r="Q1124" s="540"/>
      <c r="R1124" s="540"/>
      <c r="S1124" s="540"/>
      <c r="T1124" s="540"/>
      <c r="U1124" s="540"/>
      <c r="V1124" s="540"/>
      <c r="W1124" s="540"/>
      <c r="X1124" s="540"/>
      <c r="Y1124" s="540"/>
      <c r="Z1124" s="540"/>
    </row>
    <row r="1125" spans="1:26" ht="19">
      <c r="A1125" s="631"/>
      <c r="B1125" s="631"/>
      <c r="C1125" s="631"/>
      <c r="D1125" s="832"/>
      <c r="E1125" s="631"/>
      <c r="F1125" s="631"/>
      <c r="G1125" s="631"/>
      <c r="H1125" s="833"/>
      <c r="I1125" s="834"/>
      <c r="J1125" s="834"/>
      <c r="K1125" s="835"/>
      <c r="L1125" s="835"/>
      <c r="M1125" s="835"/>
      <c r="N1125" s="835"/>
      <c r="O1125" s="835"/>
      <c r="P1125" s="835"/>
      <c r="Q1125" s="540"/>
      <c r="R1125" s="540"/>
      <c r="S1125" s="540"/>
      <c r="T1125" s="540"/>
      <c r="U1125" s="540"/>
      <c r="V1125" s="540"/>
      <c r="W1125" s="540"/>
      <c r="X1125" s="540"/>
      <c r="Y1125" s="540"/>
      <c r="Z1125" s="540"/>
    </row>
    <row r="1126" spans="1:26" ht="19">
      <c r="A1126" s="631"/>
      <c r="B1126" s="631"/>
      <c r="C1126" s="631"/>
      <c r="D1126" s="832"/>
      <c r="E1126" s="631"/>
      <c r="F1126" s="631"/>
      <c r="G1126" s="631"/>
      <c r="H1126" s="833"/>
      <c r="I1126" s="834"/>
      <c r="J1126" s="834"/>
      <c r="K1126" s="835"/>
      <c r="L1126" s="835"/>
      <c r="M1126" s="835"/>
      <c r="N1126" s="835"/>
      <c r="O1126" s="835"/>
      <c r="P1126" s="835"/>
      <c r="Q1126" s="540"/>
      <c r="R1126" s="540"/>
      <c r="S1126" s="540"/>
      <c r="T1126" s="540"/>
      <c r="U1126" s="540"/>
      <c r="V1126" s="540"/>
      <c r="W1126" s="540"/>
      <c r="X1126" s="540"/>
      <c r="Y1126" s="540"/>
      <c r="Z1126" s="540"/>
    </row>
    <row r="1127" spans="1:26" ht="19">
      <c r="A1127" s="631"/>
      <c r="B1127" s="631"/>
      <c r="C1127" s="631"/>
      <c r="D1127" s="832"/>
      <c r="E1127" s="631"/>
      <c r="F1127" s="631"/>
      <c r="G1127" s="631"/>
      <c r="H1127" s="833"/>
      <c r="I1127" s="834"/>
      <c r="J1127" s="834"/>
      <c r="K1127" s="835"/>
      <c r="L1127" s="835"/>
      <c r="M1127" s="835"/>
      <c r="N1127" s="835"/>
      <c r="O1127" s="835"/>
      <c r="P1127" s="835"/>
      <c r="Q1127" s="540"/>
      <c r="R1127" s="540"/>
      <c r="S1127" s="540"/>
      <c r="T1127" s="540"/>
      <c r="U1127" s="540"/>
      <c r="V1127" s="540"/>
      <c r="W1127" s="540"/>
      <c r="X1127" s="540"/>
      <c r="Y1127" s="540"/>
      <c r="Z1127" s="540"/>
    </row>
    <row r="1128" spans="1:26" ht="19">
      <c r="A1128" s="631"/>
      <c r="B1128" s="631"/>
      <c r="C1128" s="631"/>
      <c r="D1128" s="832"/>
      <c r="E1128" s="631"/>
      <c r="F1128" s="631"/>
      <c r="G1128" s="631"/>
      <c r="H1128" s="833"/>
      <c r="I1128" s="834"/>
      <c r="J1128" s="834"/>
      <c r="K1128" s="835"/>
      <c r="L1128" s="835"/>
      <c r="M1128" s="835"/>
      <c r="N1128" s="835"/>
      <c r="O1128" s="835"/>
      <c r="P1128" s="835"/>
      <c r="Q1128" s="540"/>
      <c r="R1128" s="540"/>
      <c r="S1128" s="540"/>
      <c r="T1128" s="540"/>
      <c r="U1128" s="540"/>
      <c r="V1128" s="540"/>
      <c r="W1128" s="540"/>
      <c r="X1128" s="540"/>
      <c r="Y1128" s="540"/>
      <c r="Z1128" s="540"/>
    </row>
    <row r="1129" spans="1:26" ht="19">
      <c r="A1129" s="631"/>
      <c r="B1129" s="631"/>
      <c r="C1129" s="631"/>
      <c r="D1129" s="832"/>
      <c r="E1129" s="631"/>
      <c r="F1129" s="631"/>
      <c r="G1129" s="631"/>
      <c r="H1129" s="833"/>
      <c r="I1129" s="834"/>
      <c r="J1129" s="834"/>
      <c r="K1129" s="835"/>
      <c r="L1129" s="835"/>
      <c r="M1129" s="835"/>
      <c r="N1129" s="835"/>
      <c r="O1129" s="835"/>
      <c r="P1129" s="835"/>
      <c r="Q1129" s="540"/>
      <c r="R1129" s="540"/>
      <c r="S1129" s="540"/>
      <c r="T1129" s="540"/>
      <c r="U1129" s="540"/>
      <c r="V1129" s="540"/>
      <c r="W1129" s="540"/>
      <c r="X1129" s="540"/>
      <c r="Y1129" s="540"/>
      <c r="Z1129" s="540"/>
    </row>
    <row r="1130" spans="1:26" ht="19">
      <c r="A1130" s="631"/>
      <c r="B1130" s="631"/>
      <c r="C1130" s="631"/>
      <c r="D1130" s="832"/>
      <c r="E1130" s="631"/>
      <c r="F1130" s="631"/>
      <c r="G1130" s="631"/>
      <c r="H1130" s="833"/>
      <c r="I1130" s="834"/>
      <c r="J1130" s="834"/>
      <c r="K1130" s="835"/>
      <c r="L1130" s="835"/>
      <c r="M1130" s="835"/>
      <c r="N1130" s="835"/>
      <c r="O1130" s="835"/>
      <c r="P1130" s="835"/>
      <c r="Q1130" s="540"/>
      <c r="R1130" s="540"/>
      <c r="S1130" s="540"/>
      <c r="T1130" s="540"/>
      <c r="U1130" s="540"/>
      <c r="V1130" s="540"/>
      <c r="W1130" s="540"/>
      <c r="X1130" s="540"/>
      <c r="Y1130" s="540"/>
      <c r="Z1130" s="540"/>
    </row>
    <row r="1131" spans="1:26" ht="19">
      <c r="A1131" s="631"/>
      <c r="B1131" s="631"/>
      <c r="C1131" s="631"/>
      <c r="D1131" s="832"/>
      <c r="E1131" s="631"/>
      <c r="F1131" s="631"/>
      <c r="G1131" s="631"/>
      <c r="H1131" s="833"/>
      <c r="I1131" s="834"/>
      <c r="J1131" s="834"/>
      <c r="K1131" s="835"/>
      <c r="L1131" s="835"/>
      <c r="M1131" s="835"/>
      <c r="N1131" s="835"/>
      <c r="O1131" s="835"/>
      <c r="P1131" s="835"/>
      <c r="Q1131" s="540"/>
      <c r="R1131" s="540"/>
      <c r="S1131" s="540"/>
      <c r="T1131" s="540"/>
      <c r="U1131" s="540"/>
      <c r="V1131" s="540"/>
      <c r="W1131" s="540"/>
      <c r="X1131" s="540"/>
      <c r="Y1131" s="540"/>
      <c r="Z1131" s="540"/>
    </row>
    <row r="1132" spans="1:26" ht="19">
      <c r="A1132" s="631"/>
      <c r="B1132" s="631"/>
      <c r="C1132" s="631"/>
      <c r="D1132" s="832"/>
      <c r="E1132" s="631"/>
      <c r="F1132" s="631"/>
      <c r="G1132" s="631"/>
      <c r="H1132" s="833"/>
      <c r="I1132" s="834"/>
      <c r="J1132" s="834"/>
      <c r="K1132" s="835"/>
      <c r="L1132" s="835"/>
      <c r="M1132" s="835"/>
      <c r="N1132" s="835"/>
      <c r="O1132" s="835"/>
      <c r="P1132" s="835"/>
      <c r="Q1132" s="540"/>
      <c r="R1132" s="540"/>
      <c r="S1132" s="540"/>
      <c r="T1132" s="540"/>
      <c r="U1132" s="540"/>
      <c r="V1132" s="540"/>
      <c r="W1132" s="540"/>
      <c r="X1132" s="540"/>
      <c r="Y1132" s="540"/>
      <c r="Z1132" s="540"/>
    </row>
    <row r="1133" spans="1:26" ht="19">
      <c r="A1133" s="631"/>
      <c r="B1133" s="631"/>
      <c r="C1133" s="631"/>
      <c r="D1133" s="832"/>
      <c r="E1133" s="631"/>
      <c r="F1133" s="631"/>
      <c r="G1133" s="631"/>
      <c r="H1133" s="833"/>
      <c r="I1133" s="834"/>
      <c r="J1133" s="834"/>
      <c r="K1133" s="835"/>
      <c r="L1133" s="835"/>
      <c r="M1133" s="835"/>
      <c r="N1133" s="835"/>
      <c r="O1133" s="835"/>
      <c r="P1133" s="835"/>
      <c r="Q1133" s="540"/>
      <c r="R1133" s="540"/>
      <c r="S1133" s="540"/>
      <c r="T1133" s="540"/>
      <c r="U1133" s="540"/>
      <c r="V1133" s="540"/>
      <c r="W1133" s="540"/>
      <c r="X1133" s="540"/>
      <c r="Y1133" s="540"/>
      <c r="Z1133" s="540"/>
    </row>
    <row r="1134" spans="1:26" ht="19">
      <c r="A1134" s="631"/>
      <c r="B1134" s="631"/>
      <c r="C1134" s="631"/>
      <c r="D1134" s="832"/>
      <c r="E1134" s="631"/>
      <c r="F1134" s="631"/>
      <c r="G1134" s="631"/>
      <c r="H1134" s="833"/>
      <c r="I1134" s="834"/>
      <c r="J1134" s="834"/>
      <c r="K1134" s="835"/>
      <c r="L1134" s="835"/>
      <c r="M1134" s="835"/>
      <c r="N1134" s="835"/>
      <c r="O1134" s="835"/>
      <c r="P1134" s="835"/>
      <c r="Q1134" s="540"/>
      <c r="R1134" s="540"/>
      <c r="S1134" s="540"/>
      <c r="T1134" s="540"/>
      <c r="U1134" s="540"/>
      <c r="V1134" s="540"/>
      <c r="W1134" s="540"/>
      <c r="X1134" s="540"/>
      <c r="Y1134" s="540"/>
      <c r="Z1134" s="540"/>
    </row>
    <row r="1135" spans="1:26" ht="19">
      <c r="A1135" s="631"/>
      <c r="B1135" s="631"/>
      <c r="C1135" s="631"/>
      <c r="D1135" s="832"/>
      <c r="E1135" s="631"/>
      <c r="F1135" s="631"/>
      <c r="G1135" s="631"/>
      <c r="H1135" s="833"/>
      <c r="I1135" s="834"/>
      <c r="J1135" s="834"/>
      <c r="K1135" s="835"/>
      <c r="L1135" s="835"/>
      <c r="M1135" s="835"/>
      <c r="N1135" s="835"/>
      <c r="O1135" s="835"/>
      <c r="P1135" s="835"/>
      <c r="Q1135" s="540"/>
      <c r="R1135" s="540"/>
      <c r="S1135" s="540"/>
      <c r="T1135" s="540"/>
      <c r="U1135" s="540"/>
      <c r="V1135" s="540"/>
      <c r="W1135" s="540"/>
      <c r="X1135" s="540"/>
      <c r="Y1135" s="540"/>
      <c r="Z1135" s="540"/>
    </row>
    <row r="1136" spans="1:26" ht="19">
      <c r="A1136" s="631"/>
      <c r="B1136" s="631"/>
      <c r="C1136" s="631"/>
      <c r="D1136" s="832"/>
      <c r="E1136" s="631"/>
      <c r="F1136" s="631"/>
      <c r="G1136" s="631"/>
      <c r="H1136" s="833"/>
      <c r="I1136" s="834"/>
      <c r="J1136" s="834"/>
      <c r="K1136" s="835"/>
      <c r="L1136" s="835"/>
      <c r="M1136" s="835"/>
      <c r="N1136" s="835"/>
      <c r="O1136" s="835"/>
      <c r="P1136" s="835"/>
      <c r="Q1136" s="540"/>
      <c r="R1136" s="540"/>
      <c r="S1136" s="540"/>
      <c r="T1136" s="540"/>
      <c r="U1136" s="540"/>
      <c r="V1136" s="540"/>
      <c r="W1136" s="540"/>
      <c r="X1136" s="540"/>
      <c r="Y1136" s="540"/>
      <c r="Z1136" s="540"/>
    </row>
    <row r="1137" spans="1:26" ht="19">
      <c r="A1137" s="631"/>
      <c r="B1137" s="631"/>
      <c r="C1137" s="631"/>
      <c r="D1137" s="832"/>
      <c r="E1137" s="631"/>
      <c r="F1137" s="631"/>
      <c r="G1137" s="631"/>
      <c r="H1137" s="833"/>
      <c r="I1137" s="834"/>
      <c r="J1137" s="834"/>
      <c r="K1137" s="835"/>
      <c r="L1137" s="835"/>
      <c r="M1137" s="835"/>
      <c r="N1137" s="835"/>
      <c r="O1137" s="835"/>
      <c r="P1137" s="835"/>
      <c r="Q1137" s="540"/>
      <c r="R1137" s="540"/>
      <c r="S1137" s="540"/>
      <c r="T1137" s="540"/>
      <c r="U1137" s="540"/>
      <c r="V1137" s="540"/>
      <c r="W1137" s="540"/>
      <c r="X1137" s="540"/>
      <c r="Y1137" s="540"/>
      <c r="Z1137" s="540"/>
    </row>
    <row r="1138" spans="1:26" ht="19">
      <c r="A1138" s="631"/>
      <c r="B1138" s="631"/>
      <c r="C1138" s="631"/>
      <c r="D1138" s="832"/>
      <c r="E1138" s="631"/>
      <c r="F1138" s="631"/>
      <c r="G1138" s="631"/>
      <c r="H1138" s="833"/>
      <c r="I1138" s="834"/>
      <c r="J1138" s="834"/>
      <c r="K1138" s="835"/>
      <c r="L1138" s="835"/>
      <c r="M1138" s="835"/>
      <c r="N1138" s="835"/>
      <c r="O1138" s="835"/>
      <c r="P1138" s="835"/>
      <c r="Q1138" s="540"/>
      <c r="R1138" s="540"/>
      <c r="S1138" s="540"/>
      <c r="T1138" s="540"/>
      <c r="U1138" s="540"/>
      <c r="V1138" s="540"/>
      <c r="W1138" s="540"/>
      <c r="X1138" s="540"/>
      <c r="Y1138" s="540"/>
      <c r="Z1138" s="540"/>
    </row>
    <row r="1139" spans="1:26" ht="19">
      <c r="A1139" s="631"/>
      <c r="B1139" s="631"/>
      <c r="C1139" s="631"/>
      <c r="D1139" s="832"/>
      <c r="E1139" s="631"/>
      <c r="F1139" s="631"/>
      <c r="G1139" s="631"/>
      <c r="H1139" s="833"/>
      <c r="I1139" s="834"/>
      <c r="J1139" s="834"/>
      <c r="K1139" s="835"/>
      <c r="L1139" s="835"/>
      <c r="M1139" s="835"/>
      <c r="N1139" s="835"/>
      <c r="O1139" s="835"/>
      <c r="P1139" s="835"/>
      <c r="Q1139" s="540"/>
      <c r="R1139" s="540"/>
      <c r="S1139" s="540"/>
      <c r="T1139" s="540"/>
      <c r="U1139" s="540"/>
      <c r="V1139" s="540"/>
      <c r="W1139" s="540"/>
      <c r="X1139" s="540"/>
      <c r="Y1139" s="540"/>
      <c r="Z1139" s="540"/>
    </row>
    <row r="1140" spans="1:26" ht="19">
      <c r="A1140" s="631"/>
      <c r="B1140" s="631"/>
      <c r="C1140" s="631"/>
      <c r="D1140" s="832"/>
      <c r="E1140" s="631"/>
      <c r="F1140" s="631"/>
      <c r="G1140" s="631"/>
      <c r="H1140" s="833"/>
      <c r="I1140" s="834"/>
      <c r="J1140" s="834"/>
      <c r="K1140" s="835"/>
      <c r="L1140" s="835"/>
      <c r="M1140" s="835"/>
      <c r="N1140" s="835"/>
      <c r="O1140" s="835"/>
      <c r="P1140" s="835"/>
      <c r="Q1140" s="540"/>
      <c r="R1140" s="540"/>
      <c r="S1140" s="540"/>
      <c r="T1140" s="540"/>
      <c r="U1140" s="540"/>
      <c r="V1140" s="540"/>
      <c r="W1140" s="540"/>
      <c r="X1140" s="540"/>
      <c r="Y1140" s="540"/>
      <c r="Z1140" s="540"/>
    </row>
    <row r="1141" spans="1:26" ht="19">
      <c r="A1141" s="631"/>
      <c r="B1141" s="631"/>
      <c r="C1141" s="631"/>
      <c r="D1141" s="832"/>
      <c r="E1141" s="631"/>
      <c r="F1141" s="631"/>
      <c r="G1141" s="631"/>
      <c r="H1141" s="833"/>
      <c r="I1141" s="834"/>
      <c r="J1141" s="834"/>
      <c r="K1141" s="835"/>
      <c r="L1141" s="835"/>
      <c r="M1141" s="835"/>
      <c r="N1141" s="835"/>
      <c r="O1141" s="835"/>
      <c r="P1141" s="835"/>
      <c r="Q1141" s="540"/>
      <c r="R1141" s="540"/>
      <c r="S1141" s="540"/>
      <c r="T1141" s="540"/>
      <c r="U1141" s="540"/>
      <c r="V1141" s="540"/>
      <c r="W1141" s="540"/>
      <c r="X1141" s="540"/>
      <c r="Y1141" s="540"/>
      <c r="Z1141" s="540"/>
    </row>
    <row r="1142" spans="1:26" ht="19">
      <c r="A1142" s="631"/>
      <c r="B1142" s="631"/>
      <c r="C1142" s="631"/>
      <c r="D1142" s="832"/>
      <c r="E1142" s="631"/>
      <c r="F1142" s="631"/>
      <c r="G1142" s="631"/>
      <c r="H1142" s="833"/>
      <c r="I1142" s="834"/>
      <c r="J1142" s="834"/>
      <c r="K1142" s="835"/>
      <c r="L1142" s="835"/>
      <c r="M1142" s="835"/>
      <c r="N1142" s="835"/>
      <c r="O1142" s="835"/>
      <c r="P1142" s="835"/>
      <c r="Q1142" s="540"/>
      <c r="R1142" s="540"/>
      <c r="S1142" s="540"/>
      <c r="T1142" s="540"/>
      <c r="U1142" s="540"/>
      <c r="V1142" s="540"/>
      <c r="W1142" s="540"/>
      <c r="X1142" s="540"/>
      <c r="Y1142" s="540"/>
      <c r="Z1142" s="540"/>
    </row>
    <row r="1143" spans="1:26" ht="19">
      <c r="A1143" s="631"/>
      <c r="B1143" s="631"/>
      <c r="C1143" s="631"/>
      <c r="D1143" s="832"/>
      <c r="E1143" s="631"/>
      <c r="F1143" s="631"/>
      <c r="G1143" s="631"/>
      <c r="H1143" s="833"/>
      <c r="I1143" s="834"/>
      <c r="J1143" s="834"/>
      <c r="K1143" s="835"/>
      <c r="L1143" s="835"/>
      <c r="M1143" s="835"/>
      <c r="N1143" s="835"/>
      <c r="O1143" s="835"/>
      <c r="P1143" s="835"/>
      <c r="Q1143" s="540"/>
      <c r="R1143" s="540"/>
      <c r="S1143" s="540"/>
      <c r="T1143" s="540"/>
      <c r="U1143" s="540"/>
      <c r="V1143" s="540"/>
      <c r="W1143" s="540"/>
      <c r="X1143" s="540"/>
      <c r="Y1143" s="540"/>
      <c r="Z1143" s="540"/>
    </row>
    <row r="1144" spans="1:26" ht="19">
      <c r="A1144" s="631"/>
      <c r="B1144" s="631"/>
      <c r="C1144" s="631"/>
      <c r="D1144" s="832"/>
      <c r="E1144" s="631"/>
      <c r="F1144" s="631"/>
      <c r="G1144" s="631"/>
      <c r="H1144" s="833"/>
      <c r="I1144" s="834"/>
      <c r="J1144" s="834"/>
      <c r="K1144" s="835"/>
      <c r="L1144" s="835"/>
      <c r="M1144" s="835"/>
      <c r="N1144" s="835"/>
      <c r="O1144" s="835"/>
      <c r="P1144" s="835"/>
      <c r="Q1144" s="540"/>
      <c r="R1144" s="540"/>
      <c r="S1144" s="540"/>
      <c r="T1144" s="540"/>
      <c r="U1144" s="540"/>
      <c r="V1144" s="540"/>
      <c r="W1144" s="540"/>
      <c r="X1144" s="540"/>
      <c r="Y1144" s="540"/>
      <c r="Z1144" s="540"/>
    </row>
    <row r="1145" spans="1:26" ht="19">
      <c r="A1145" s="631"/>
      <c r="B1145" s="631"/>
      <c r="C1145" s="631"/>
      <c r="D1145" s="832"/>
      <c r="E1145" s="631"/>
      <c r="F1145" s="631"/>
      <c r="G1145" s="631"/>
      <c r="H1145" s="833"/>
      <c r="I1145" s="834"/>
      <c r="J1145" s="834"/>
      <c r="K1145" s="835"/>
      <c r="L1145" s="835"/>
      <c r="M1145" s="835"/>
      <c r="N1145" s="835"/>
      <c r="O1145" s="835"/>
      <c r="P1145" s="835"/>
      <c r="Q1145" s="540"/>
      <c r="R1145" s="540"/>
      <c r="S1145" s="540"/>
      <c r="T1145" s="540"/>
      <c r="U1145" s="540"/>
      <c r="V1145" s="540"/>
      <c r="W1145" s="540"/>
      <c r="X1145" s="540"/>
      <c r="Y1145" s="540"/>
      <c r="Z1145" s="540"/>
    </row>
    <row r="1146" spans="1:26" ht="19">
      <c r="A1146" s="631"/>
      <c r="B1146" s="631"/>
      <c r="C1146" s="631"/>
      <c r="D1146" s="832"/>
      <c r="E1146" s="631"/>
      <c r="F1146" s="631"/>
      <c r="G1146" s="631"/>
      <c r="H1146" s="833"/>
      <c r="I1146" s="834"/>
      <c r="J1146" s="834"/>
      <c r="K1146" s="835"/>
      <c r="L1146" s="835"/>
      <c r="M1146" s="835"/>
      <c r="N1146" s="835"/>
      <c r="O1146" s="835"/>
      <c r="P1146" s="835"/>
      <c r="Q1146" s="540"/>
      <c r="R1146" s="540"/>
      <c r="S1146" s="540"/>
      <c r="T1146" s="540"/>
      <c r="U1146" s="540"/>
      <c r="V1146" s="540"/>
      <c r="W1146" s="540"/>
      <c r="X1146" s="540"/>
      <c r="Y1146" s="540"/>
      <c r="Z1146" s="540"/>
    </row>
    <row r="1147" spans="1:26" ht="19">
      <c r="A1147" s="631"/>
      <c r="B1147" s="631"/>
      <c r="C1147" s="631"/>
      <c r="D1147" s="832"/>
      <c r="E1147" s="631"/>
      <c r="F1147" s="631"/>
      <c r="G1147" s="631"/>
      <c r="H1147" s="833"/>
      <c r="I1147" s="834"/>
      <c r="J1147" s="834"/>
      <c r="K1147" s="835"/>
      <c r="L1147" s="835"/>
      <c r="M1147" s="835"/>
      <c r="N1147" s="835"/>
      <c r="O1147" s="835"/>
      <c r="P1147" s="835"/>
      <c r="Q1147" s="540"/>
      <c r="R1147" s="540"/>
      <c r="S1147" s="540"/>
      <c r="T1147" s="540"/>
      <c r="U1147" s="540"/>
      <c r="V1147" s="540"/>
      <c r="W1147" s="540"/>
      <c r="X1147" s="540"/>
      <c r="Y1147" s="540"/>
      <c r="Z1147" s="540"/>
    </row>
    <row r="1148" spans="1:26" ht="19">
      <c r="A1148" s="631"/>
      <c r="B1148" s="631"/>
      <c r="C1148" s="631"/>
      <c r="D1148" s="832"/>
      <c r="E1148" s="631"/>
      <c r="F1148" s="631"/>
      <c r="G1148" s="631"/>
      <c r="H1148" s="833"/>
      <c r="I1148" s="834"/>
      <c r="J1148" s="834"/>
      <c r="K1148" s="835"/>
      <c r="L1148" s="835"/>
      <c r="M1148" s="835"/>
      <c r="N1148" s="835"/>
      <c r="O1148" s="835"/>
      <c r="P1148" s="835"/>
      <c r="Q1148" s="540"/>
      <c r="R1148" s="540"/>
      <c r="S1148" s="540"/>
      <c r="T1148" s="540"/>
      <c r="U1148" s="540"/>
      <c r="V1148" s="540"/>
      <c r="W1148" s="540"/>
      <c r="X1148" s="540"/>
      <c r="Y1148" s="540"/>
      <c r="Z1148" s="540"/>
    </row>
    <row r="1149" spans="1:26" ht="19">
      <c r="A1149" s="631"/>
      <c r="B1149" s="631"/>
      <c r="C1149" s="631"/>
      <c r="D1149" s="832"/>
      <c r="E1149" s="631"/>
      <c r="F1149" s="631"/>
      <c r="G1149" s="631"/>
      <c r="H1149" s="833"/>
      <c r="I1149" s="834"/>
      <c r="J1149" s="834"/>
      <c r="K1149" s="835"/>
      <c r="L1149" s="835"/>
      <c r="M1149" s="835"/>
      <c r="N1149" s="835"/>
      <c r="O1149" s="835"/>
      <c r="P1149" s="835"/>
      <c r="Q1149" s="540"/>
      <c r="R1149" s="540"/>
      <c r="S1149" s="540"/>
      <c r="T1149" s="540"/>
      <c r="U1149" s="540"/>
      <c r="V1149" s="540"/>
      <c r="W1149" s="540"/>
      <c r="X1149" s="540"/>
      <c r="Y1149" s="540"/>
      <c r="Z1149" s="540"/>
    </row>
    <row r="1150" spans="1:26" ht="19">
      <c r="A1150" s="631"/>
      <c r="B1150" s="631"/>
      <c r="C1150" s="631"/>
      <c r="D1150" s="832"/>
      <c r="E1150" s="631"/>
      <c r="F1150" s="631"/>
      <c r="G1150" s="631"/>
      <c r="H1150" s="833"/>
      <c r="I1150" s="834"/>
      <c r="J1150" s="834"/>
      <c r="K1150" s="835"/>
      <c r="L1150" s="835"/>
      <c r="M1150" s="835"/>
      <c r="N1150" s="835"/>
      <c r="O1150" s="835"/>
      <c r="P1150" s="835"/>
      <c r="Q1150" s="540"/>
      <c r="R1150" s="540"/>
      <c r="S1150" s="540"/>
      <c r="T1150" s="540"/>
      <c r="U1150" s="540"/>
      <c r="V1150" s="540"/>
      <c r="W1150" s="540"/>
      <c r="X1150" s="540"/>
      <c r="Y1150" s="540"/>
      <c r="Z1150" s="540"/>
    </row>
    <row r="1151" spans="1:26" ht="19">
      <c r="A1151" s="631"/>
      <c r="B1151" s="631"/>
      <c r="C1151" s="631"/>
      <c r="D1151" s="832"/>
      <c r="E1151" s="631"/>
      <c r="F1151" s="631"/>
      <c r="G1151" s="631"/>
      <c r="H1151" s="833"/>
      <c r="I1151" s="834"/>
      <c r="J1151" s="834"/>
      <c r="K1151" s="835"/>
      <c r="L1151" s="835"/>
      <c r="M1151" s="835"/>
      <c r="N1151" s="835"/>
      <c r="O1151" s="835"/>
      <c r="P1151" s="835"/>
      <c r="Q1151" s="540"/>
      <c r="R1151" s="540"/>
      <c r="S1151" s="540"/>
      <c r="T1151" s="540"/>
      <c r="U1151" s="540"/>
      <c r="V1151" s="540"/>
      <c r="W1151" s="540"/>
      <c r="X1151" s="540"/>
      <c r="Y1151" s="540"/>
      <c r="Z1151" s="540"/>
    </row>
    <row r="1152" spans="1:26" ht="19">
      <c r="A1152" s="631"/>
      <c r="B1152" s="631"/>
      <c r="C1152" s="631"/>
      <c r="D1152" s="832"/>
      <c r="E1152" s="631"/>
      <c r="F1152" s="631"/>
      <c r="G1152" s="631"/>
      <c r="H1152" s="833"/>
      <c r="I1152" s="834"/>
      <c r="J1152" s="834"/>
      <c r="K1152" s="835"/>
      <c r="L1152" s="835"/>
      <c r="M1152" s="835"/>
      <c r="N1152" s="835"/>
      <c r="O1152" s="835"/>
      <c r="P1152" s="835"/>
      <c r="Q1152" s="540"/>
      <c r="R1152" s="540"/>
      <c r="S1152" s="540"/>
      <c r="T1152" s="540"/>
      <c r="U1152" s="540"/>
      <c r="V1152" s="540"/>
      <c r="W1152" s="540"/>
      <c r="X1152" s="540"/>
      <c r="Y1152" s="540"/>
      <c r="Z1152" s="540"/>
    </row>
    <row r="1153" spans="1:26" ht="19">
      <c r="A1153" s="631"/>
      <c r="B1153" s="631"/>
      <c r="C1153" s="631"/>
      <c r="D1153" s="832"/>
      <c r="E1153" s="631"/>
      <c r="F1153" s="631"/>
      <c r="G1153" s="631"/>
      <c r="H1153" s="833"/>
      <c r="I1153" s="834"/>
      <c r="J1153" s="834"/>
      <c r="K1153" s="835"/>
      <c r="L1153" s="835"/>
      <c r="M1153" s="835"/>
      <c r="N1153" s="835"/>
      <c r="O1153" s="835"/>
      <c r="P1153" s="835"/>
      <c r="Q1153" s="540"/>
      <c r="R1153" s="540"/>
      <c r="S1153" s="540"/>
      <c r="T1153" s="540"/>
      <c r="U1153" s="540"/>
      <c r="V1153" s="540"/>
      <c r="W1153" s="540"/>
      <c r="X1153" s="540"/>
      <c r="Y1153" s="540"/>
      <c r="Z1153" s="540"/>
    </row>
    <row r="1154" spans="1:26" ht="19">
      <c r="A1154" s="631"/>
      <c r="B1154" s="631"/>
      <c r="C1154" s="631"/>
      <c r="D1154" s="832"/>
      <c r="E1154" s="631"/>
      <c r="F1154" s="631"/>
      <c r="G1154" s="631"/>
      <c r="H1154" s="833"/>
      <c r="I1154" s="834"/>
      <c r="J1154" s="834"/>
      <c r="K1154" s="835"/>
      <c r="L1154" s="835"/>
      <c r="M1154" s="835"/>
      <c r="N1154" s="835"/>
      <c r="O1154" s="835"/>
      <c r="P1154" s="835"/>
      <c r="Q1154" s="540"/>
      <c r="R1154" s="540"/>
      <c r="S1154" s="540"/>
      <c r="T1154" s="540"/>
      <c r="U1154" s="540"/>
      <c r="V1154" s="540"/>
      <c r="W1154" s="540"/>
      <c r="X1154" s="540"/>
      <c r="Y1154" s="540"/>
      <c r="Z1154" s="540"/>
    </row>
    <row r="1155" spans="1:26" ht="19">
      <c r="A1155" s="631"/>
      <c r="B1155" s="631"/>
      <c r="C1155" s="631"/>
      <c r="D1155" s="832"/>
      <c r="E1155" s="631"/>
      <c r="F1155" s="631"/>
      <c r="G1155" s="631"/>
      <c r="H1155" s="833"/>
      <c r="I1155" s="834"/>
      <c r="J1155" s="834"/>
      <c r="K1155" s="835"/>
      <c r="L1155" s="835"/>
      <c r="M1155" s="835"/>
      <c r="N1155" s="835"/>
      <c r="O1155" s="835"/>
      <c r="P1155" s="835"/>
      <c r="Q1155" s="540"/>
      <c r="R1155" s="540"/>
      <c r="S1155" s="540"/>
      <c r="T1155" s="540"/>
      <c r="U1155" s="540"/>
      <c r="V1155" s="540"/>
      <c r="W1155" s="540"/>
      <c r="X1155" s="540"/>
      <c r="Y1155" s="540"/>
      <c r="Z1155" s="540"/>
    </row>
    <row r="1156" spans="1:26" ht="19">
      <c r="A1156" s="631"/>
      <c r="B1156" s="631"/>
      <c r="C1156" s="631"/>
      <c r="D1156" s="832"/>
      <c r="E1156" s="631"/>
      <c r="F1156" s="631"/>
      <c r="G1156" s="631"/>
      <c r="H1156" s="833"/>
      <c r="I1156" s="834"/>
      <c r="J1156" s="834"/>
      <c r="K1156" s="835"/>
      <c r="L1156" s="835"/>
      <c r="M1156" s="835"/>
      <c r="N1156" s="835"/>
      <c r="O1156" s="835"/>
      <c r="P1156" s="835"/>
      <c r="Q1156" s="540"/>
      <c r="R1156" s="540"/>
      <c r="S1156" s="540"/>
      <c r="T1156" s="540"/>
      <c r="U1156" s="540"/>
      <c r="V1156" s="540"/>
      <c r="W1156" s="540"/>
      <c r="X1156" s="540"/>
      <c r="Y1156" s="540"/>
      <c r="Z1156" s="540"/>
    </row>
    <row r="1157" spans="1:26" ht="19">
      <c r="A1157" s="631"/>
      <c r="B1157" s="631"/>
      <c r="C1157" s="631"/>
      <c r="D1157" s="832"/>
      <c r="E1157" s="631"/>
      <c r="F1157" s="631"/>
      <c r="G1157" s="631"/>
      <c r="H1157" s="833"/>
      <c r="I1157" s="834"/>
      <c r="J1157" s="834"/>
      <c r="K1157" s="835"/>
      <c r="L1157" s="835"/>
      <c r="M1157" s="835"/>
      <c r="N1157" s="835"/>
      <c r="O1157" s="835"/>
      <c r="P1157" s="835"/>
      <c r="Q1157" s="540"/>
      <c r="R1157" s="540"/>
      <c r="S1157" s="540"/>
      <c r="T1157" s="540"/>
      <c r="U1157" s="540"/>
      <c r="V1157" s="540"/>
      <c r="W1157" s="540"/>
      <c r="X1157" s="540"/>
      <c r="Y1157" s="540"/>
      <c r="Z1157" s="540"/>
    </row>
    <row r="1158" spans="1:26" ht="19">
      <c r="A1158" s="631"/>
      <c r="B1158" s="631"/>
      <c r="C1158" s="631"/>
      <c r="D1158" s="832"/>
      <c r="E1158" s="631"/>
      <c r="F1158" s="631"/>
      <c r="G1158" s="631"/>
      <c r="H1158" s="833"/>
      <c r="I1158" s="834"/>
      <c r="J1158" s="834"/>
      <c r="K1158" s="835"/>
      <c r="L1158" s="835"/>
      <c r="M1158" s="835"/>
      <c r="N1158" s="835"/>
      <c r="O1158" s="835"/>
      <c r="P1158" s="835"/>
      <c r="Q1158" s="540"/>
      <c r="R1158" s="540"/>
      <c r="S1158" s="540"/>
      <c r="T1158" s="540"/>
      <c r="U1158" s="540"/>
      <c r="V1158" s="540"/>
      <c r="W1158" s="540"/>
      <c r="X1158" s="540"/>
      <c r="Y1158" s="540"/>
      <c r="Z1158" s="540"/>
    </row>
    <row r="1159" spans="1:26" ht="19">
      <c r="A1159" s="631"/>
      <c r="B1159" s="631"/>
      <c r="C1159" s="631"/>
      <c r="D1159" s="832"/>
      <c r="E1159" s="631"/>
      <c r="F1159" s="631"/>
      <c r="G1159" s="631"/>
      <c r="H1159" s="833"/>
      <c r="I1159" s="834"/>
      <c r="J1159" s="834"/>
      <c r="K1159" s="835"/>
      <c r="L1159" s="835"/>
      <c r="M1159" s="835"/>
      <c r="N1159" s="835"/>
      <c r="O1159" s="835"/>
      <c r="P1159" s="835"/>
      <c r="Q1159" s="540"/>
      <c r="R1159" s="540"/>
      <c r="S1159" s="540"/>
      <c r="T1159" s="540"/>
      <c r="U1159" s="540"/>
      <c r="V1159" s="540"/>
      <c r="W1159" s="540"/>
      <c r="X1159" s="540"/>
      <c r="Y1159" s="540"/>
      <c r="Z1159" s="540"/>
    </row>
    <row r="1160" spans="1:26" ht="19">
      <c r="A1160" s="631"/>
      <c r="B1160" s="631"/>
      <c r="C1160" s="631"/>
      <c r="D1160" s="832"/>
      <c r="E1160" s="631"/>
      <c r="F1160" s="631"/>
      <c r="G1160" s="631"/>
      <c r="H1160" s="833"/>
      <c r="I1160" s="834"/>
      <c r="J1160" s="834"/>
      <c r="K1160" s="835"/>
      <c r="L1160" s="835"/>
      <c r="M1160" s="835"/>
      <c r="N1160" s="835"/>
      <c r="O1160" s="835"/>
      <c r="P1160" s="835"/>
      <c r="Q1160" s="540"/>
      <c r="R1160" s="540"/>
      <c r="S1160" s="540"/>
      <c r="T1160" s="540"/>
      <c r="U1160" s="540"/>
      <c r="V1160" s="540"/>
      <c r="W1160" s="540"/>
      <c r="X1160" s="540"/>
      <c r="Y1160" s="540"/>
      <c r="Z1160" s="540"/>
    </row>
    <row r="1161" spans="1:26" ht="19">
      <c r="A1161" s="631"/>
      <c r="B1161" s="631"/>
      <c r="C1161" s="631"/>
      <c r="D1161" s="832"/>
      <c r="E1161" s="631"/>
      <c r="F1161" s="631"/>
      <c r="G1161" s="631"/>
      <c r="H1161" s="833"/>
      <c r="I1161" s="834"/>
      <c r="J1161" s="834"/>
      <c r="K1161" s="835"/>
      <c r="L1161" s="835"/>
      <c r="M1161" s="835"/>
      <c r="N1161" s="835"/>
      <c r="O1161" s="835"/>
      <c r="P1161" s="835"/>
      <c r="Q1161" s="540"/>
      <c r="R1161" s="540"/>
      <c r="S1161" s="540"/>
      <c r="T1161" s="540"/>
      <c r="U1161" s="540"/>
      <c r="V1161" s="540"/>
      <c r="W1161" s="540"/>
      <c r="X1161" s="540"/>
      <c r="Y1161" s="540"/>
      <c r="Z1161" s="540"/>
    </row>
    <row r="1162" spans="1:26" ht="19">
      <c r="A1162" s="631"/>
      <c r="B1162" s="631"/>
      <c r="C1162" s="631"/>
      <c r="D1162" s="832"/>
      <c r="E1162" s="631"/>
      <c r="F1162" s="631"/>
      <c r="G1162" s="631"/>
      <c r="H1162" s="833"/>
      <c r="I1162" s="834"/>
      <c r="J1162" s="834"/>
      <c r="K1162" s="835"/>
      <c r="L1162" s="835"/>
      <c r="M1162" s="835"/>
      <c r="N1162" s="835"/>
      <c r="O1162" s="835"/>
      <c r="P1162" s="835"/>
      <c r="Q1162" s="540"/>
      <c r="R1162" s="540"/>
      <c r="S1162" s="540"/>
      <c r="T1162" s="540"/>
      <c r="U1162" s="540"/>
      <c r="V1162" s="540"/>
      <c r="W1162" s="540"/>
      <c r="X1162" s="540"/>
      <c r="Y1162" s="540"/>
      <c r="Z1162" s="540"/>
    </row>
    <row r="1163" spans="1:26" ht="19">
      <c r="A1163" s="631"/>
      <c r="B1163" s="631"/>
      <c r="C1163" s="631"/>
      <c r="D1163" s="832"/>
      <c r="E1163" s="631"/>
      <c r="F1163" s="631"/>
      <c r="G1163" s="631"/>
      <c r="H1163" s="833"/>
      <c r="I1163" s="834"/>
      <c r="J1163" s="834"/>
      <c r="K1163" s="835"/>
      <c r="L1163" s="835"/>
      <c r="M1163" s="835"/>
      <c r="N1163" s="835"/>
      <c r="O1163" s="835"/>
      <c r="P1163" s="835"/>
      <c r="Q1163" s="540"/>
      <c r="R1163" s="540"/>
      <c r="S1163" s="540"/>
      <c r="T1163" s="540"/>
      <c r="U1163" s="540"/>
      <c r="V1163" s="540"/>
      <c r="W1163" s="540"/>
      <c r="X1163" s="540"/>
      <c r="Y1163" s="540"/>
      <c r="Z1163" s="540"/>
    </row>
    <row r="1164" spans="1:26" ht="19">
      <c r="A1164" s="631"/>
      <c r="B1164" s="631"/>
      <c r="C1164" s="631"/>
      <c r="D1164" s="832"/>
      <c r="E1164" s="631"/>
      <c r="F1164" s="631"/>
      <c r="G1164" s="631"/>
      <c r="H1164" s="833"/>
      <c r="I1164" s="834"/>
      <c r="J1164" s="834"/>
      <c r="K1164" s="835"/>
      <c r="L1164" s="835"/>
      <c r="M1164" s="835"/>
      <c r="N1164" s="835"/>
      <c r="O1164" s="835"/>
      <c r="P1164" s="835"/>
      <c r="Q1164" s="540"/>
      <c r="R1164" s="540"/>
      <c r="S1164" s="540"/>
      <c r="T1164" s="540"/>
      <c r="U1164" s="540"/>
      <c r="V1164" s="540"/>
      <c r="W1164" s="540"/>
      <c r="X1164" s="540"/>
      <c r="Y1164" s="540"/>
      <c r="Z1164" s="540"/>
    </row>
    <row r="1165" spans="1:26" ht="19">
      <c r="A1165" s="631"/>
      <c r="B1165" s="631"/>
      <c r="C1165" s="631"/>
      <c r="D1165" s="832"/>
      <c r="E1165" s="631"/>
      <c r="F1165" s="631"/>
      <c r="G1165" s="631"/>
      <c r="H1165" s="833"/>
      <c r="I1165" s="834"/>
      <c r="J1165" s="834"/>
      <c r="K1165" s="835"/>
      <c r="L1165" s="835"/>
      <c r="M1165" s="835"/>
      <c r="N1165" s="835"/>
      <c r="O1165" s="835"/>
      <c r="P1165" s="835"/>
      <c r="Q1165" s="540"/>
      <c r="R1165" s="540"/>
      <c r="S1165" s="540"/>
      <c r="T1165" s="540"/>
      <c r="U1165" s="540"/>
      <c r="V1165" s="540"/>
      <c r="W1165" s="540"/>
      <c r="X1165" s="540"/>
      <c r="Y1165" s="540"/>
      <c r="Z1165" s="540"/>
    </row>
    <row r="1166" spans="1:26" ht="19">
      <c r="A1166" s="631"/>
      <c r="B1166" s="631"/>
      <c r="C1166" s="631"/>
      <c r="D1166" s="832"/>
      <c r="E1166" s="631"/>
      <c r="F1166" s="631"/>
      <c r="G1166" s="631"/>
      <c r="H1166" s="833"/>
      <c r="I1166" s="834"/>
      <c r="J1166" s="834"/>
      <c r="K1166" s="835"/>
      <c r="L1166" s="835"/>
      <c r="M1166" s="835"/>
      <c r="N1166" s="835"/>
      <c r="O1166" s="835"/>
      <c r="P1166" s="835"/>
      <c r="Q1166" s="540"/>
      <c r="R1166" s="540"/>
      <c r="S1166" s="540"/>
      <c r="T1166" s="540"/>
      <c r="U1166" s="540"/>
      <c r="V1166" s="540"/>
      <c r="W1166" s="540"/>
      <c r="X1166" s="540"/>
      <c r="Y1166" s="540"/>
      <c r="Z1166" s="540"/>
    </row>
    <row r="1167" spans="1:26" ht="19">
      <c r="A1167" s="631"/>
      <c r="B1167" s="631"/>
      <c r="C1167" s="631"/>
      <c r="D1167" s="832"/>
      <c r="E1167" s="631"/>
      <c r="F1167" s="631"/>
      <c r="G1167" s="631"/>
      <c r="H1167" s="833"/>
      <c r="I1167" s="834"/>
      <c r="J1167" s="834"/>
      <c r="K1167" s="835"/>
      <c r="L1167" s="835"/>
      <c r="M1167" s="835"/>
      <c r="N1167" s="835"/>
      <c r="O1167" s="835"/>
      <c r="P1167" s="835"/>
      <c r="Q1167" s="540"/>
      <c r="R1167" s="540"/>
      <c r="S1167" s="540"/>
      <c r="T1167" s="540"/>
      <c r="U1167" s="540"/>
      <c r="V1167" s="540"/>
      <c r="W1167" s="540"/>
      <c r="X1167" s="540"/>
      <c r="Y1167" s="540"/>
      <c r="Z1167" s="540"/>
    </row>
    <row r="1168" spans="1:26" ht="19">
      <c r="A1168" s="631"/>
      <c r="B1168" s="631"/>
      <c r="C1168" s="631"/>
      <c r="D1168" s="832"/>
      <c r="E1168" s="631"/>
      <c r="F1168" s="631"/>
      <c r="G1168" s="631"/>
      <c r="H1168" s="833"/>
      <c r="I1168" s="834"/>
      <c r="J1168" s="834"/>
      <c r="K1168" s="835"/>
      <c r="L1168" s="835"/>
      <c r="M1168" s="835"/>
      <c r="N1168" s="835"/>
      <c r="O1168" s="835"/>
      <c r="P1168" s="835"/>
      <c r="Q1168" s="540"/>
      <c r="R1168" s="540"/>
      <c r="S1168" s="540"/>
      <c r="T1168" s="540"/>
      <c r="U1168" s="540"/>
      <c r="V1168" s="540"/>
      <c r="W1168" s="540"/>
      <c r="X1168" s="540"/>
      <c r="Y1168" s="540"/>
      <c r="Z1168" s="540"/>
    </row>
    <row r="1169" spans="1:26" ht="19">
      <c r="A1169" s="631"/>
      <c r="B1169" s="631"/>
      <c r="C1169" s="631"/>
      <c r="D1169" s="832"/>
      <c r="E1169" s="631"/>
      <c r="F1169" s="631"/>
      <c r="G1169" s="631"/>
      <c r="H1169" s="833"/>
      <c r="I1169" s="834"/>
      <c r="J1169" s="834"/>
      <c r="K1169" s="835"/>
      <c r="L1169" s="835"/>
      <c r="M1169" s="835"/>
      <c r="N1169" s="835"/>
      <c r="O1169" s="835"/>
      <c r="P1169" s="835"/>
      <c r="Q1169" s="540"/>
      <c r="R1169" s="540"/>
      <c r="S1169" s="540"/>
      <c r="T1169" s="540"/>
      <c r="U1169" s="540"/>
      <c r="V1169" s="540"/>
      <c r="W1169" s="540"/>
      <c r="X1169" s="540"/>
      <c r="Y1169" s="540"/>
      <c r="Z1169" s="540"/>
    </row>
    <row r="1170" spans="1:26" ht="19">
      <c r="A1170" s="631"/>
      <c r="B1170" s="631"/>
      <c r="C1170" s="631"/>
      <c r="D1170" s="832"/>
      <c r="E1170" s="631"/>
      <c r="F1170" s="631"/>
      <c r="G1170" s="631"/>
      <c r="H1170" s="833"/>
      <c r="I1170" s="834"/>
      <c r="J1170" s="834"/>
      <c r="K1170" s="835"/>
      <c r="L1170" s="835"/>
      <c r="M1170" s="835"/>
      <c r="N1170" s="835"/>
      <c r="O1170" s="835"/>
      <c r="P1170" s="835"/>
      <c r="Q1170" s="540"/>
      <c r="R1170" s="540"/>
      <c r="S1170" s="540"/>
      <c r="T1170" s="540"/>
      <c r="U1170" s="540"/>
      <c r="V1170" s="540"/>
      <c r="W1170" s="540"/>
      <c r="X1170" s="540"/>
      <c r="Y1170" s="540"/>
      <c r="Z1170" s="540"/>
    </row>
    <row r="1171" spans="1:26" ht="19">
      <c r="A1171" s="631"/>
      <c r="B1171" s="631"/>
      <c r="C1171" s="631"/>
      <c r="D1171" s="832"/>
      <c r="E1171" s="631"/>
      <c r="F1171" s="631"/>
      <c r="G1171" s="631"/>
      <c r="H1171" s="833"/>
      <c r="I1171" s="834"/>
      <c r="J1171" s="834"/>
      <c r="K1171" s="835"/>
      <c r="L1171" s="835"/>
      <c r="M1171" s="835"/>
      <c r="N1171" s="835"/>
      <c r="O1171" s="835"/>
      <c r="P1171" s="835"/>
      <c r="Q1171" s="540"/>
      <c r="R1171" s="540"/>
      <c r="S1171" s="540"/>
      <c r="T1171" s="540"/>
      <c r="U1171" s="540"/>
      <c r="V1171" s="540"/>
      <c r="W1171" s="540"/>
      <c r="X1171" s="540"/>
      <c r="Y1171" s="540"/>
      <c r="Z1171" s="540"/>
    </row>
    <row r="1172" spans="1:26" ht="19">
      <c r="A1172" s="631"/>
      <c r="B1172" s="631"/>
      <c r="C1172" s="631"/>
      <c r="D1172" s="832"/>
      <c r="E1172" s="631"/>
      <c r="F1172" s="631"/>
      <c r="G1172" s="631"/>
      <c r="H1172" s="833"/>
      <c r="I1172" s="834"/>
      <c r="J1172" s="834"/>
      <c r="K1172" s="835"/>
      <c r="L1172" s="835"/>
      <c r="M1172" s="835"/>
      <c r="N1172" s="835"/>
      <c r="O1172" s="835"/>
      <c r="P1172" s="835"/>
      <c r="Q1172" s="540"/>
      <c r="R1172" s="540"/>
      <c r="S1172" s="540"/>
      <c r="T1172" s="540"/>
      <c r="U1172" s="540"/>
      <c r="V1172" s="540"/>
      <c r="W1172" s="540"/>
      <c r="X1172" s="540"/>
      <c r="Y1172" s="540"/>
      <c r="Z1172" s="540"/>
    </row>
    <row r="1173" spans="1:26" ht="19">
      <c r="A1173" s="631"/>
      <c r="B1173" s="631"/>
      <c r="C1173" s="631"/>
      <c r="D1173" s="832"/>
      <c r="E1173" s="631"/>
      <c r="F1173" s="631"/>
      <c r="G1173" s="631"/>
      <c r="H1173" s="833"/>
      <c r="I1173" s="834"/>
      <c r="J1173" s="834"/>
      <c r="K1173" s="835"/>
      <c r="L1173" s="835"/>
      <c r="M1173" s="835"/>
      <c r="N1173" s="835"/>
      <c r="O1173" s="835"/>
      <c r="P1173" s="835"/>
      <c r="Q1173" s="540"/>
      <c r="R1173" s="540"/>
      <c r="S1173" s="540"/>
      <c r="T1173" s="540"/>
      <c r="U1173" s="540"/>
      <c r="V1173" s="540"/>
      <c r="W1173" s="540"/>
      <c r="X1173" s="540"/>
      <c r="Y1173" s="540"/>
      <c r="Z1173" s="540"/>
    </row>
    <row r="1174" spans="1:26" ht="19">
      <c r="A1174" s="631"/>
      <c r="B1174" s="631"/>
      <c r="C1174" s="631"/>
      <c r="D1174" s="832"/>
      <c r="E1174" s="631"/>
      <c r="F1174" s="631"/>
      <c r="G1174" s="631"/>
      <c r="H1174" s="833"/>
      <c r="I1174" s="834"/>
      <c r="J1174" s="834"/>
      <c r="K1174" s="835"/>
      <c r="L1174" s="835"/>
      <c r="M1174" s="835"/>
      <c r="N1174" s="835"/>
      <c r="O1174" s="835"/>
      <c r="P1174" s="835"/>
      <c r="Q1174" s="540"/>
      <c r="R1174" s="540"/>
      <c r="S1174" s="540"/>
      <c r="T1174" s="540"/>
      <c r="U1174" s="540"/>
      <c r="V1174" s="540"/>
      <c r="W1174" s="540"/>
      <c r="X1174" s="540"/>
      <c r="Y1174" s="540"/>
      <c r="Z1174" s="540"/>
    </row>
    <row r="1175" spans="1:26" ht="19">
      <c r="A1175" s="631"/>
      <c r="B1175" s="631"/>
      <c r="C1175" s="631"/>
      <c r="D1175" s="832"/>
      <c r="E1175" s="631"/>
      <c r="F1175" s="631"/>
      <c r="G1175" s="631"/>
      <c r="H1175" s="833"/>
      <c r="I1175" s="834"/>
      <c r="J1175" s="834"/>
      <c r="K1175" s="835"/>
      <c r="L1175" s="835"/>
      <c r="M1175" s="835"/>
      <c r="N1175" s="835"/>
      <c r="O1175" s="835"/>
      <c r="P1175" s="835"/>
      <c r="Q1175" s="540"/>
      <c r="R1175" s="540"/>
      <c r="S1175" s="540"/>
      <c r="T1175" s="540"/>
      <c r="U1175" s="540"/>
      <c r="V1175" s="540"/>
      <c r="W1175" s="540"/>
      <c r="X1175" s="540"/>
      <c r="Y1175" s="540"/>
      <c r="Z1175" s="540"/>
    </row>
    <row r="1176" spans="1:26" ht="19">
      <c r="A1176" s="631"/>
      <c r="B1176" s="631"/>
      <c r="C1176" s="631"/>
      <c r="D1176" s="832"/>
      <c r="E1176" s="631"/>
      <c r="F1176" s="631"/>
      <c r="G1176" s="631"/>
      <c r="H1176" s="833"/>
      <c r="I1176" s="834"/>
      <c r="J1176" s="834"/>
      <c r="K1176" s="835"/>
      <c r="L1176" s="835"/>
      <c r="M1176" s="835"/>
      <c r="N1176" s="835"/>
      <c r="O1176" s="835"/>
      <c r="P1176" s="835"/>
      <c r="Q1176" s="540"/>
      <c r="R1176" s="540"/>
      <c r="S1176" s="540"/>
      <c r="T1176" s="540"/>
      <c r="U1176" s="540"/>
      <c r="V1176" s="540"/>
      <c r="W1176" s="540"/>
      <c r="X1176" s="540"/>
      <c r="Y1176" s="540"/>
      <c r="Z1176" s="540"/>
    </row>
    <row r="1177" spans="1:26" ht="19">
      <c r="A1177" s="631"/>
      <c r="B1177" s="631"/>
      <c r="C1177" s="631"/>
      <c r="D1177" s="832"/>
      <c r="E1177" s="631"/>
      <c r="F1177" s="631"/>
      <c r="G1177" s="631"/>
      <c r="H1177" s="833"/>
      <c r="I1177" s="834"/>
      <c r="J1177" s="834"/>
      <c r="K1177" s="835"/>
      <c r="L1177" s="835"/>
      <c r="M1177" s="835"/>
      <c r="N1177" s="835"/>
      <c r="O1177" s="835"/>
      <c r="P1177" s="835"/>
      <c r="Q1177" s="540"/>
      <c r="R1177" s="540"/>
      <c r="S1177" s="540"/>
      <c r="T1177" s="540"/>
      <c r="U1177" s="540"/>
      <c r="V1177" s="540"/>
      <c r="W1177" s="540"/>
      <c r="X1177" s="540"/>
      <c r="Y1177" s="540"/>
      <c r="Z1177" s="540"/>
    </row>
    <row r="1178" spans="1:26" ht="19">
      <c r="A1178" s="631"/>
      <c r="B1178" s="631"/>
      <c r="C1178" s="631"/>
      <c r="D1178" s="832"/>
      <c r="E1178" s="631"/>
      <c r="F1178" s="631"/>
      <c r="G1178" s="631"/>
      <c r="H1178" s="833"/>
      <c r="I1178" s="834"/>
      <c r="J1178" s="834"/>
      <c r="K1178" s="835"/>
      <c r="L1178" s="835"/>
      <c r="M1178" s="835"/>
      <c r="N1178" s="835"/>
      <c r="O1178" s="835"/>
      <c r="P1178" s="835"/>
      <c r="Q1178" s="540"/>
      <c r="R1178" s="540"/>
      <c r="S1178" s="540"/>
      <c r="T1178" s="540"/>
      <c r="U1178" s="540"/>
      <c r="V1178" s="540"/>
      <c r="W1178" s="540"/>
      <c r="X1178" s="540"/>
      <c r="Y1178" s="540"/>
      <c r="Z1178" s="540"/>
    </row>
    <row r="1179" spans="1:26" ht="19">
      <c r="A1179" s="631"/>
      <c r="B1179" s="631"/>
      <c r="C1179" s="631"/>
      <c r="D1179" s="832"/>
      <c r="E1179" s="631"/>
      <c r="F1179" s="631"/>
      <c r="G1179" s="631"/>
      <c r="H1179" s="833"/>
      <c r="I1179" s="834"/>
      <c r="J1179" s="834"/>
      <c r="K1179" s="835"/>
      <c r="L1179" s="835"/>
      <c r="M1179" s="835"/>
      <c r="N1179" s="835"/>
      <c r="O1179" s="835"/>
      <c r="P1179" s="835"/>
      <c r="Q1179" s="540"/>
      <c r="R1179" s="540"/>
      <c r="S1179" s="540"/>
      <c r="T1179" s="540"/>
      <c r="U1179" s="540"/>
      <c r="V1179" s="540"/>
      <c r="W1179" s="540"/>
      <c r="X1179" s="540"/>
      <c r="Y1179" s="540"/>
      <c r="Z1179" s="540"/>
    </row>
    <row r="1180" spans="1:26" ht="19">
      <c r="A1180" s="631"/>
      <c r="B1180" s="631"/>
      <c r="C1180" s="631"/>
      <c r="D1180" s="832"/>
      <c r="E1180" s="631"/>
      <c r="F1180" s="631"/>
      <c r="G1180" s="631"/>
      <c r="H1180" s="833"/>
      <c r="I1180" s="834"/>
      <c r="J1180" s="834"/>
      <c r="K1180" s="835"/>
      <c r="L1180" s="835"/>
      <c r="M1180" s="835"/>
      <c r="N1180" s="835"/>
      <c r="O1180" s="835"/>
      <c r="P1180" s="835"/>
      <c r="Q1180" s="540"/>
      <c r="R1180" s="540"/>
      <c r="S1180" s="540"/>
      <c r="T1180" s="540"/>
      <c r="U1180" s="540"/>
      <c r="V1180" s="540"/>
      <c r="W1180" s="540"/>
      <c r="X1180" s="540"/>
      <c r="Y1180" s="540"/>
      <c r="Z1180" s="540"/>
    </row>
    <row r="1181" spans="1:26" ht="19">
      <c r="A1181" s="631"/>
      <c r="B1181" s="631"/>
      <c r="C1181" s="631"/>
      <c r="D1181" s="832"/>
      <c r="E1181" s="631"/>
      <c r="F1181" s="631"/>
      <c r="G1181" s="631"/>
      <c r="H1181" s="833"/>
      <c r="I1181" s="834"/>
      <c r="J1181" s="834"/>
      <c r="K1181" s="835"/>
      <c r="L1181" s="835"/>
      <c r="M1181" s="835"/>
      <c r="N1181" s="835"/>
      <c r="O1181" s="835"/>
      <c r="P1181" s="835"/>
      <c r="Q1181" s="540"/>
      <c r="R1181" s="540"/>
      <c r="S1181" s="540"/>
      <c r="T1181" s="540"/>
      <c r="U1181" s="540"/>
      <c r="V1181" s="540"/>
      <c r="W1181" s="540"/>
      <c r="X1181" s="540"/>
      <c r="Y1181" s="540"/>
      <c r="Z1181" s="540"/>
    </row>
    <row r="1182" spans="1:26" ht="19">
      <c r="A1182" s="631"/>
      <c r="B1182" s="631"/>
      <c r="C1182" s="631"/>
      <c r="D1182" s="832"/>
      <c r="E1182" s="631"/>
      <c r="F1182" s="631"/>
      <c r="G1182" s="631"/>
      <c r="H1182" s="833"/>
      <c r="I1182" s="834"/>
      <c r="J1182" s="834"/>
      <c r="K1182" s="835"/>
      <c r="L1182" s="835"/>
      <c r="M1182" s="835"/>
      <c r="N1182" s="835"/>
      <c r="O1182" s="835"/>
      <c r="P1182" s="835"/>
      <c r="Q1182" s="540"/>
      <c r="R1182" s="540"/>
      <c r="S1182" s="540"/>
      <c r="T1182" s="540"/>
      <c r="U1182" s="540"/>
      <c r="V1182" s="540"/>
      <c r="W1182" s="540"/>
      <c r="X1182" s="540"/>
      <c r="Y1182" s="540"/>
      <c r="Z1182" s="540"/>
    </row>
    <row r="1183" spans="1:26" ht="19">
      <c r="A1183" s="631"/>
      <c r="B1183" s="631"/>
      <c r="C1183" s="631"/>
      <c r="D1183" s="832"/>
      <c r="E1183" s="631"/>
      <c r="F1183" s="631"/>
      <c r="G1183" s="631"/>
      <c r="H1183" s="833"/>
      <c r="I1183" s="834"/>
      <c r="J1183" s="834"/>
      <c r="K1183" s="835"/>
      <c r="L1183" s="835"/>
      <c r="M1183" s="835"/>
      <c r="N1183" s="835"/>
      <c r="O1183" s="835"/>
      <c r="P1183" s="835"/>
      <c r="Q1183" s="540"/>
      <c r="R1183" s="540"/>
      <c r="S1183" s="540"/>
      <c r="T1183" s="540"/>
      <c r="U1183" s="540"/>
      <c r="V1183" s="540"/>
      <c r="W1183" s="540"/>
      <c r="X1183" s="540"/>
      <c r="Y1183" s="540"/>
      <c r="Z1183" s="540"/>
    </row>
    <row r="1184" spans="1:26" ht="19">
      <c r="A1184" s="631"/>
      <c r="B1184" s="631"/>
      <c r="C1184" s="631"/>
      <c r="D1184" s="832"/>
      <c r="E1184" s="631"/>
      <c r="F1184" s="631"/>
      <c r="G1184" s="631"/>
      <c r="H1184" s="833"/>
      <c r="I1184" s="834"/>
      <c r="J1184" s="834"/>
      <c r="K1184" s="835"/>
      <c r="L1184" s="835"/>
      <c r="M1184" s="835"/>
      <c r="N1184" s="835"/>
      <c r="O1184" s="835"/>
      <c r="P1184" s="835"/>
      <c r="Q1184" s="540"/>
      <c r="R1184" s="540"/>
      <c r="S1184" s="540"/>
      <c r="T1184" s="540"/>
      <c r="U1184" s="540"/>
      <c r="V1184" s="540"/>
      <c r="W1184" s="540"/>
      <c r="X1184" s="540"/>
      <c r="Y1184" s="540"/>
      <c r="Z1184" s="540"/>
    </row>
    <row r="1185" spans="1:26" ht="19">
      <c r="A1185" s="631"/>
      <c r="B1185" s="631"/>
      <c r="C1185" s="631"/>
      <c r="D1185" s="832"/>
      <c r="E1185" s="631"/>
      <c r="F1185" s="631"/>
      <c r="G1185" s="631"/>
      <c r="H1185" s="833"/>
      <c r="I1185" s="834"/>
      <c r="J1185" s="834"/>
      <c r="K1185" s="835"/>
      <c r="L1185" s="835"/>
      <c r="M1185" s="835"/>
      <c r="N1185" s="835"/>
      <c r="O1185" s="835"/>
      <c r="P1185" s="835"/>
      <c r="Q1185" s="540"/>
      <c r="R1185" s="540"/>
      <c r="S1185" s="540"/>
      <c r="T1185" s="540"/>
      <c r="U1185" s="540"/>
      <c r="V1185" s="540"/>
      <c r="W1185" s="540"/>
      <c r="X1185" s="540"/>
      <c r="Y1185" s="540"/>
      <c r="Z1185" s="540"/>
    </row>
    <row r="1186" spans="1:26" ht="19">
      <c r="A1186" s="631"/>
      <c r="B1186" s="631"/>
      <c r="C1186" s="631"/>
      <c r="D1186" s="832"/>
      <c r="E1186" s="631"/>
      <c r="F1186" s="631"/>
      <c r="G1186" s="631"/>
      <c r="H1186" s="833"/>
      <c r="I1186" s="834"/>
      <c r="J1186" s="834"/>
      <c r="K1186" s="835"/>
      <c r="L1186" s="835"/>
      <c r="M1186" s="835"/>
      <c r="N1186" s="835"/>
      <c r="O1186" s="835"/>
      <c r="P1186" s="835"/>
      <c r="Q1186" s="540"/>
      <c r="R1186" s="540"/>
      <c r="S1186" s="540"/>
      <c r="T1186" s="540"/>
      <c r="U1186" s="540"/>
      <c r="V1186" s="540"/>
      <c r="W1186" s="540"/>
      <c r="X1186" s="540"/>
      <c r="Y1186" s="540"/>
      <c r="Z1186" s="540"/>
    </row>
    <row r="1187" spans="1:26" ht="19">
      <c r="A1187" s="631"/>
      <c r="B1187" s="631"/>
      <c r="C1187" s="631"/>
      <c r="D1187" s="832"/>
      <c r="E1187" s="631"/>
      <c r="F1187" s="631"/>
      <c r="G1187" s="631"/>
      <c r="H1187" s="833"/>
      <c r="I1187" s="834"/>
      <c r="J1187" s="834"/>
      <c r="K1187" s="835"/>
      <c r="L1187" s="835"/>
      <c r="M1187" s="835"/>
      <c r="N1187" s="835"/>
      <c r="O1187" s="835"/>
      <c r="P1187" s="835"/>
      <c r="Q1187" s="540"/>
      <c r="R1187" s="540"/>
      <c r="S1187" s="540"/>
      <c r="T1187" s="540"/>
      <c r="U1187" s="540"/>
      <c r="V1187" s="540"/>
      <c r="W1187" s="540"/>
      <c r="X1187" s="540"/>
      <c r="Y1187" s="540"/>
      <c r="Z1187" s="540"/>
    </row>
    <row r="1188" spans="1:26" ht="19">
      <c r="A1188" s="631"/>
      <c r="B1188" s="631"/>
      <c r="C1188" s="631"/>
      <c r="D1188" s="832"/>
      <c r="E1188" s="631"/>
      <c r="F1188" s="631"/>
      <c r="G1188" s="631"/>
      <c r="H1188" s="833"/>
      <c r="I1188" s="834"/>
      <c r="J1188" s="834"/>
      <c r="K1188" s="835"/>
      <c r="L1188" s="835"/>
      <c r="M1188" s="835"/>
      <c r="N1188" s="835"/>
      <c r="O1188" s="835"/>
      <c r="P1188" s="835"/>
      <c r="Q1188" s="540"/>
      <c r="R1188" s="540"/>
      <c r="S1188" s="540"/>
      <c r="T1188" s="540"/>
      <c r="U1188" s="540"/>
      <c r="V1188" s="540"/>
      <c r="W1188" s="540"/>
      <c r="X1188" s="540"/>
      <c r="Y1188" s="540"/>
      <c r="Z1188" s="540"/>
    </row>
    <row r="1189" spans="1:26" ht="19">
      <c r="A1189" s="631"/>
      <c r="B1189" s="631"/>
      <c r="C1189" s="631"/>
      <c r="D1189" s="832"/>
      <c r="E1189" s="631"/>
      <c r="F1189" s="631"/>
      <c r="G1189" s="631"/>
      <c r="H1189" s="833"/>
      <c r="I1189" s="834"/>
      <c r="J1189" s="834"/>
      <c r="K1189" s="835"/>
      <c r="L1189" s="835"/>
      <c r="M1189" s="835"/>
      <c r="N1189" s="835"/>
      <c r="O1189" s="835"/>
      <c r="P1189" s="835"/>
      <c r="Q1189" s="540"/>
      <c r="R1189" s="540"/>
      <c r="S1189" s="540"/>
      <c r="T1189" s="540"/>
      <c r="U1189" s="540"/>
      <c r="V1189" s="540"/>
      <c r="W1189" s="540"/>
      <c r="X1189" s="540"/>
      <c r="Y1189" s="540"/>
      <c r="Z1189" s="540"/>
    </row>
    <row r="1190" spans="1:26" ht="19">
      <c r="A1190" s="631"/>
      <c r="B1190" s="631"/>
      <c r="C1190" s="631"/>
      <c r="D1190" s="832"/>
      <c r="E1190" s="631"/>
      <c r="F1190" s="631"/>
      <c r="G1190" s="631"/>
      <c r="H1190" s="833"/>
      <c r="I1190" s="834"/>
      <c r="J1190" s="834"/>
      <c r="K1190" s="835"/>
      <c r="L1190" s="835"/>
      <c r="M1190" s="835"/>
      <c r="N1190" s="835"/>
      <c r="O1190" s="835"/>
      <c r="P1190" s="835"/>
      <c r="Q1190" s="540"/>
      <c r="R1190" s="540"/>
      <c r="S1190" s="540"/>
      <c r="T1190" s="540"/>
      <c r="U1190" s="540"/>
      <c r="V1190" s="540"/>
      <c r="W1190" s="540"/>
      <c r="X1190" s="540"/>
      <c r="Y1190" s="540"/>
      <c r="Z1190" s="540"/>
    </row>
    <row r="1191" spans="1:26" ht="19">
      <c r="A1191" s="631"/>
      <c r="B1191" s="631"/>
      <c r="C1191" s="631"/>
      <c r="D1191" s="832"/>
      <c r="E1191" s="631"/>
      <c r="F1191" s="631"/>
      <c r="G1191" s="631"/>
      <c r="H1191" s="833"/>
      <c r="I1191" s="834"/>
      <c r="J1191" s="834"/>
      <c r="K1191" s="835"/>
      <c r="L1191" s="835"/>
      <c r="M1191" s="835"/>
      <c r="N1191" s="835"/>
      <c r="O1191" s="835"/>
      <c r="P1191" s="835"/>
      <c r="Q1191" s="540"/>
      <c r="R1191" s="540"/>
      <c r="S1191" s="540"/>
      <c r="T1191" s="540"/>
      <c r="U1191" s="540"/>
      <c r="V1191" s="540"/>
      <c r="W1191" s="540"/>
      <c r="X1191" s="540"/>
      <c r="Y1191" s="540"/>
      <c r="Z1191" s="540"/>
    </row>
    <row r="1192" spans="1:26" ht="19">
      <c r="A1192" s="631"/>
      <c r="B1192" s="631"/>
      <c r="C1192" s="631"/>
      <c r="D1192" s="832"/>
      <c r="E1192" s="631"/>
      <c r="F1192" s="631"/>
      <c r="G1192" s="631"/>
      <c r="H1192" s="833"/>
      <c r="I1192" s="834"/>
      <c r="J1192" s="834"/>
      <c r="K1192" s="835"/>
      <c r="L1192" s="835"/>
      <c r="M1192" s="835"/>
      <c r="N1192" s="835"/>
      <c r="O1192" s="835"/>
      <c r="P1192" s="835"/>
      <c r="Q1192" s="540"/>
      <c r="R1192" s="540"/>
      <c r="S1192" s="540"/>
      <c r="T1192" s="540"/>
      <c r="U1192" s="540"/>
      <c r="V1192" s="540"/>
      <c r="W1192" s="540"/>
      <c r="X1192" s="540"/>
      <c r="Y1192" s="540"/>
      <c r="Z1192" s="540"/>
    </row>
    <row r="1193" spans="1:26" ht="19">
      <c r="A1193" s="631"/>
      <c r="B1193" s="631"/>
      <c r="C1193" s="631"/>
      <c r="D1193" s="832"/>
      <c r="E1193" s="631"/>
      <c r="F1193" s="631"/>
      <c r="G1193" s="631"/>
      <c r="H1193" s="833"/>
      <c r="I1193" s="834"/>
      <c r="J1193" s="834"/>
      <c r="K1193" s="835"/>
      <c r="L1193" s="835"/>
      <c r="M1193" s="835"/>
      <c r="N1193" s="835"/>
      <c r="O1193" s="835"/>
      <c r="P1193" s="835"/>
      <c r="Q1193" s="540"/>
      <c r="R1193" s="540"/>
      <c r="S1193" s="540"/>
      <c r="T1193" s="540"/>
      <c r="U1193" s="540"/>
      <c r="V1193" s="540"/>
      <c r="W1193" s="540"/>
      <c r="X1193" s="540"/>
      <c r="Y1193" s="540"/>
      <c r="Z1193" s="540"/>
    </row>
    <row r="1194" spans="1:26" ht="19">
      <c r="A1194" s="631"/>
      <c r="B1194" s="631"/>
      <c r="C1194" s="631"/>
      <c r="D1194" s="832"/>
      <c r="E1194" s="631"/>
      <c r="F1194" s="631"/>
      <c r="G1194" s="631"/>
      <c r="H1194" s="833"/>
      <c r="I1194" s="834"/>
      <c r="J1194" s="834"/>
      <c r="K1194" s="835"/>
      <c r="L1194" s="835"/>
      <c r="M1194" s="835"/>
      <c r="N1194" s="835"/>
      <c r="O1194" s="835"/>
      <c r="P1194" s="835"/>
      <c r="Q1194" s="540"/>
      <c r="R1194" s="540"/>
      <c r="S1194" s="540"/>
      <c r="T1194" s="540"/>
      <c r="U1194" s="540"/>
      <c r="V1194" s="540"/>
      <c r="W1194" s="540"/>
      <c r="X1194" s="540"/>
      <c r="Y1194" s="540"/>
      <c r="Z1194" s="540"/>
    </row>
    <row r="1195" spans="1:26" ht="19">
      <c r="A1195" s="631"/>
      <c r="B1195" s="631"/>
      <c r="C1195" s="631"/>
      <c r="D1195" s="832"/>
      <c r="E1195" s="631"/>
      <c r="F1195" s="631"/>
      <c r="G1195" s="631"/>
      <c r="H1195" s="833"/>
      <c r="I1195" s="834"/>
      <c r="J1195" s="834"/>
      <c r="K1195" s="835"/>
      <c r="L1195" s="835"/>
      <c r="M1195" s="835"/>
      <c r="N1195" s="835"/>
      <c r="O1195" s="835"/>
      <c r="P1195" s="835"/>
      <c r="Q1195" s="540"/>
      <c r="R1195" s="540"/>
      <c r="S1195" s="540"/>
      <c r="T1195" s="540"/>
      <c r="U1195" s="540"/>
      <c r="V1195" s="540"/>
      <c r="W1195" s="540"/>
      <c r="X1195" s="540"/>
      <c r="Y1195" s="540"/>
      <c r="Z1195" s="540"/>
    </row>
    <row r="1196" spans="1:26" ht="19">
      <c r="A1196" s="631"/>
      <c r="B1196" s="631"/>
      <c r="C1196" s="631"/>
      <c r="D1196" s="832"/>
      <c r="E1196" s="631"/>
      <c r="F1196" s="631"/>
      <c r="G1196" s="631"/>
      <c r="H1196" s="833"/>
      <c r="I1196" s="834"/>
      <c r="J1196" s="834"/>
      <c r="K1196" s="835"/>
      <c r="L1196" s="835"/>
      <c r="M1196" s="835"/>
      <c r="N1196" s="835"/>
      <c r="O1196" s="835"/>
      <c r="P1196" s="835"/>
      <c r="Q1196" s="540"/>
      <c r="R1196" s="540"/>
      <c r="S1196" s="540"/>
      <c r="T1196" s="540"/>
      <c r="U1196" s="540"/>
      <c r="V1196" s="540"/>
      <c r="W1196" s="540"/>
      <c r="X1196" s="540"/>
      <c r="Y1196" s="540"/>
      <c r="Z1196" s="540"/>
    </row>
    <row r="1197" spans="1:26" ht="19">
      <c r="A1197" s="631"/>
      <c r="B1197" s="631"/>
      <c r="C1197" s="631"/>
      <c r="D1197" s="832"/>
      <c r="E1197" s="631"/>
      <c r="F1197" s="631"/>
      <c r="G1197" s="631"/>
      <c r="H1197" s="833"/>
      <c r="I1197" s="834"/>
      <c r="J1197" s="834"/>
      <c r="K1197" s="835"/>
      <c r="L1197" s="835"/>
      <c r="M1197" s="835"/>
      <c r="N1197" s="835"/>
      <c r="O1197" s="835"/>
      <c r="P1197" s="835"/>
      <c r="Q1197" s="540"/>
      <c r="R1197" s="540"/>
      <c r="S1197" s="540"/>
      <c r="T1197" s="540"/>
      <c r="U1197" s="540"/>
      <c r="V1197" s="540"/>
      <c r="W1197" s="540"/>
      <c r="X1197" s="540"/>
      <c r="Y1197" s="540"/>
      <c r="Z1197" s="540"/>
    </row>
    <row r="1198" spans="1:26" ht="19">
      <c r="A1198" s="631"/>
      <c r="B1198" s="631"/>
      <c r="C1198" s="631"/>
      <c r="D1198" s="832"/>
      <c r="E1198" s="631"/>
      <c r="F1198" s="631"/>
      <c r="G1198" s="631"/>
      <c r="H1198" s="833"/>
      <c r="I1198" s="834"/>
      <c r="J1198" s="834"/>
      <c r="K1198" s="835"/>
      <c r="L1198" s="835"/>
      <c r="M1198" s="835"/>
      <c r="N1198" s="835"/>
      <c r="O1198" s="835"/>
      <c r="P1198" s="835"/>
      <c r="Q1198" s="540"/>
      <c r="R1198" s="540"/>
      <c r="S1198" s="540"/>
      <c r="T1198" s="540"/>
      <c r="U1198" s="540"/>
      <c r="V1198" s="540"/>
      <c r="W1198" s="540"/>
      <c r="X1198" s="540"/>
      <c r="Y1198" s="540"/>
      <c r="Z1198" s="540"/>
    </row>
    <row r="1199" spans="1:26" ht="19">
      <c r="A1199" s="631"/>
      <c r="B1199" s="631"/>
      <c r="C1199" s="631"/>
      <c r="D1199" s="832"/>
      <c r="E1199" s="631"/>
      <c r="F1199" s="631"/>
      <c r="G1199" s="631"/>
      <c r="H1199" s="833"/>
      <c r="I1199" s="834"/>
      <c r="J1199" s="834"/>
      <c r="K1199" s="835"/>
      <c r="L1199" s="835"/>
      <c r="M1199" s="835"/>
      <c r="N1199" s="835"/>
      <c r="O1199" s="835"/>
      <c r="P1199" s="835"/>
      <c r="Q1199" s="540"/>
      <c r="R1199" s="540"/>
      <c r="S1199" s="540"/>
      <c r="T1199" s="540"/>
      <c r="U1199" s="540"/>
      <c r="V1199" s="540"/>
      <c r="W1199" s="540"/>
      <c r="X1199" s="540"/>
      <c r="Y1199" s="540"/>
      <c r="Z1199" s="540"/>
    </row>
    <row r="1200" spans="1:26" ht="19">
      <c r="A1200" s="631"/>
      <c r="B1200" s="631"/>
      <c r="C1200" s="631"/>
      <c r="D1200" s="832"/>
      <c r="E1200" s="631"/>
      <c r="F1200" s="631"/>
      <c r="G1200" s="631"/>
      <c r="H1200" s="833"/>
      <c r="I1200" s="834"/>
      <c r="J1200" s="834"/>
      <c r="K1200" s="835"/>
      <c r="L1200" s="835"/>
      <c r="M1200" s="835"/>
      <c r="N1200" s="835"/>
      <c r="O1200" s="835"/>
      <c r="P1200" s="835"/>
      <c r="Q1200" s="540"/>
      <c r="R1200" s="540"/>
      <c r="S1200" s="540"/>
      <c r="T1200" s="540"/>
      <c r="U1200" s="540"/>
      <c r="V1200" s="540"/>
      <c r="W1200" s="540"/>
      <c r="X1200" s="540"/>
      <c r="Y1200" s="540"/>
      <c r="Z1200" s="540"/>
    </row>
    <row r="1201" spans="1:26" ht="19">
      <c r="A1201" s="631"/>
      <c r="B1201" s="631"/>
      <c r="C1201" s="631"/>
      <c r="D1201" s="832"/>
      <c r="E1201" s="631"/>
      <c r="F1201" s="631"/>
      <c r="G1201" s="631"/>
      <c r="H1201" s="833"/>
      <c r="I1201" s="834"/>
      <c r="J1201" s="834"/>
      <c r="K1201" s="835"/>
      <c r="L1201" s="835"/>
      <c r="M1201" s="835"/>
      <c r="N1201" s="835"/>
      <c r="O1201" s="835"/>
      <c r="P1201" s="835"/>
      <c r="Q1201" s="540"/>
      <c r="R1201" s="540"/>
      <c r="S1201" s="540"/>
      <c r="T1201" s="540"/>
      <c r="U1201" s="540"/>
      <c r="V1201" s="540"/>
      <c r="W1201" s="540"/>
      <c r="X1201" s="540"/>
      <c r="Y1201" s="540"/>
      <c r="Z1201" s="540"/>
    </row>
    <row r="1202" spans="1:26" ht="19">
      <c r="A1202" s="631"/>
      <c r="B1202" s="631"/>
      <c r="C1202" s="631"/>
      <c r="D1202" s="832"/>
      <c r="E1202" s="631"/>
      <c r="F1202" s="631"/>
      <c r="G1202" s="631"/>
      <c r="H1202" s="833"/>
      <c r="I1202" s="834"/>
      <c r="J1202" s="834"/>
      <c r="K1202" s="835"/>
      <c r="L1202" s="835"/>
      <c r="M1202" s="835"/>
      <c r="N1202" s="835"/>
      <c r="O1202" s="835"/>
      <c r="P1202" s="835"/>
      <c r="Q1202" s="540"/>
      <c r="R1202" s="540"/>
      <c r="S1202" s="540"/>
      <c r="T1202" s="540"/>
      <c r="U1202" s="540"/>
      <c r="V1202" s="540"/>
      <c r="W1202" s="540"/>
      <c r="X1202" s="540"/>
      <c r="Y1202" s="540"/>
      <c r="Z1202" s="540"/>
    </row>
    <row r="1203" spans="1:26" ht="19">
      <c r="A1203" s="631"/>
      <c r="B1203" s="631"/>
      <c r="C1203" s="631"/>
      <c r="D1203" s="832"/>
      <c r="E1203" s="631"/>
      <c r="F1203" s="631"/>
      <c r="G1203" s="631"/>
      <c r="H1203" s="833"/>
      <c r="I1203" s="834"/>
      <c r="J1203" s="834"/>
      <c r="K1203" s="835"/>
      <c r="L1203" s="835"/>
      <c r="M1203" s="835"/>
      <c r="N1203" s="835"/>
      <c r="O1203" s="835"/>
      <c r="P1203" s="835"/>
      <c r="Q1203" s="540"/>
      <c r="R1203" s="540"/>
      <c r="S1203" s="540"/>
      <c r="T1203" s="540"/>
      <c r="U1203" s="540"/>
      <c r="V1203" s="540"/>
      <c r="W1203" s="540"/>
      <c r="X1203" s="540"/>
      <c r="Y1203" s="540"/>
      <c r="Z1203" s="540"/>
    </row>
    <row r="1204" spans="1:26" ht="19">
      <c r="A1204" s="631"/>
      <c r="B1204" s="631"/>
      <c r="C1204" s="631"/>
      <c r="D1204" s="832"/>
      <c r="E1204" s="631"/>
      <c r="F1204" s="631"/>
      <c r="G1204" s="631"/>
      <c r="H1204" s="833"/>
      <c r="I1204" s="834"/>
      <c r="J1204" s="834"/>
      <c r="K1204" s="835"/>
      <c r="L1204" s="835"/>
      <c r="M1204" s="835"/>
      <c r="N1204" s="835"/>
      <c r="O1204" s="835"/>
      <c r="P1204" s="835"/>
      <c r="Q1204" s="540"/>
      <c r="R1204" s="540"/>
      <c r="S1204" s="540"/>
      <c r="T1204" s="540"/>
      <c r="U1204" s="540"/>
      <c r="V1204" s="540"/>
      <c r="W1204" s="540"/>
      <c r="X1204" s="540"/>
      <c r="Y1204" s="540"/>
      <c r="Z1204" s="540"/>
    </row>
    <row r="1205" spans="1:26" ht="19">
      <c r="A1205" s="631"/>
      <c r="B1205" s="631"/>
      <c r="C1205" s="631"/>
      <c r="D1205" s="832"/>
      <c r="E1205" s="631"/>
      <c r="F1205" s="631"/>
      <c r="G1205" s="631"/>
      <c r="H1205" s="833"/>
      <c r="I1205" s="834"/>
      <c r="J1205" s="834"/>
      <c r="K1205" s="835"/>
      <c r="L1205" s="835"/>
      <c r="M1205" s="835"/>
      <c r="N1205" s="835"/>
      <c r="O1205" s="835"/>
      <c r="P1205" s="835"/>
      <c r="Q1205" s="540"/>
      <c r="R1205" s="540"/>
      <c r="S1205" s="540"/>
      <c r="T1205" s="540"/>
      <c r="U1205" s="540"/>
      <c r="V1205" s="540"/>
      <c r="W1205" s="540"/>
      <c r="X1205" s="540"/>
      <c r="Y1205" s="540"/>
      <c r="Z1205" s="540"/>
    </row>
    <row r="1206" spans="1:26" ht="19">
      <c r="A1206" s="631"/>
      <c r="B1206" s="631"/>
      <c r="C1206" s="631"/>
      <c r="D1206" s="832"/>
      <c r="E1206" s="631"/>
      <c r="F1206" s="631"/>
      <c r="G1206" s="631"/>
      <c r="H1206" s="833"/>
      <c r="I1206" s="834"/>
      <c r="J1206" s="834"/>
      <c r="K1206" s="835"/>
      <c r="L1206" s="835"/>
      <c r="M1206" s="835"/>
      <c r="N1206" s="835"/>
      <c r="O1206" s="835"/>
      <c r="P1206" s="835"/>
      <c r="Q1206" s="540"/>
      <c r="R1206" s="540"/>
      <c r="S1206" s="540"/>
      <c r="T1206" s="540"/>
      <c r="U1206" s="540"/>
      <c r="V1206" s="540"/>
      <c r="W1206" s="540"/>
      <c r="X1206" s="540"/>
      <c r="Y1206" s="540"/>
      <c r="Z1206" s="540"/>
    </row>
    <row r="1207" spans="1:26" ht="19">
      <c r="A1207" s="631"/>
      <c r="B1207" s="631"/>
      <c r="C1207" s="631"/>
      <c r="D1207" s="832"/>
      <c r="E1207" s="631"/>
      <c r="F1207" s="631"/>
      <c r="G1207" s="631"/>
      <c r="H1207" s="833"/>
      <c r="I1207" s="834"/>
      <c r="J1207" s="834"/>
      <c r="K1207" s="835"/>
      <c r="L1207" s="835"/>
      <c r="M1207" s="835"/>
      <c r="N1207" s="835"/>
      <c r="O1207" s="835"/>
      <c r="P1207" s="835"/>
      <c r="Q1207" s="540"/>
      <c r="R1207" s="540"/>
      <c r="S1207" s="540"/>
      <c r="T1207" s="540"/>
      <c r="U1207" s="540"/>
      <c r="V1207" s="540"/>
      <c r="W1207" s="540"/>
      <c r="X1207" s="540"/>
      <c r="Y1207" s="540"/>
      <c r="Z1207" s="540"/>
    </row>
    <row r="1208" spans="1:26" ht="19">
      <c r="A1208" s="631"/>
      <c r="B1208" s="631"/>
      <c r="C1208" s="631"/>
      <c r="D1208" s="832"/>
      <c r="E1208" s="631"/>
      <c r="F1208" s="631"/>
      <c r="G1208" s="631"/>
      <c r="H1208" s="833"/>
      <c r="I1208" s="834"/>
      <c r="J1208" s="834"/>
      <c r="K1208" s="835"/>
      <c r="L1208" s="835"/>
      <c r="M1208" s="835"/>
      <c r="N1208" s="835"/>
      <c r="O1208" s="835"/>
      <c r="P1208" s="835"/>
      <c r="Q1208" s="540"/>
      <c r="R1208" s="540"/>
      <c r="S1208" s="540"/>
      <c r="T1208" s="540"/>
      <c r="U1208" s="540"/>
      <c r="V1208" s="540"/>
      <c r="W1208" s="540"/>
      <c r="X1208" s="540"/>
      <c r="Y1208" s="540"/>
      <c r="Z1208" s="540"/>
    </row>
    <row r="1209" spans="1:26" ht="19">
      <c r="A1209" s="631"/>
      <c r="B1209" s="631"/>
      <c r="C1209" s="631"/>
      <c r="D1209" s="832"/>
      <c r="E1209" s="631"/>
      <c r="F1209" s="631"/>
      <c r="G1209" s="631"/>
      <c r="H1209" s="833"/>
      <c r="I1209" s="834"/>
      <c r="J1209" s="834"/>
      <c r="K1209" s="835"/>
      <c r="L1209" s="835"/>
      <c r="M1209" s="835"/>
      <c r="N1209" s="835"/>
      <c r="O1209" s="835"/>
      <c r="P1209" s="835"/>
      <c r="Q1209" s="540"/>
      <c r="R1209" s="540"/>
      <c r="S1209" s="540"/>
      <c r="T1209" s="540"/>
      <c r="U1209" s="540"/>
      <c r="V1209" s="540"/>
      <c r="W1209" s="540"/>
      <c r="X1209" s="540"/>
      <c r="Y1209" s="540"/>
      <c r="Z1209" s="540"/>
    </row>
    <row r="1210" spans="1:26" ht="19">
      <c r="A1210" s="631"/>
      <c r="B1210" s="631"/>
      <c r="C1210" s="631"/>
      <c r="D1210" s="832"/>
      <c r="E1210" s="631"/>
      <c r="F1210" s="631"/>
      <c r="G1210" s="631"/>
      <c r="H1210" s="833"/>
      <c r="I1210" s="834"/>
      <c r="J1210" s="834"/>
      <c r="K1210" s="835"/>
      <c r="L1210" s="835"/>
      <c r="M1210" s="835"/>
      <c r="N1210" s="835"/>
      <c r="O1210" s="835"/>
      <c r="P1210" s="835"/>
      <c r="Q1210" s="540"/>
      <c r="R1210" s="540"/>
      <c r="S1210" s="540"/>
      <c r="T1210" s="540"/>
      <c r="U1210" s="540"/>
      <c r="V1210" s="540"/>
      <c r="W1210" s="540"/>
      <c r="X1210" s="540"/>
      <c r="Y1210" s="540"/>
      <c r="Z1210" s="540"/>
    </row>
    <row r="1211" spans="1:26" ht="19">
      <c r="A1211" s="631"/>
      <c r="B1211" s="631"/>
      <c r="C1211" s="631"/>
      <c r="D1211" s="832"/>
      <c r="E1211" s="631"/>
      <c r="F1211" s="631"/>
      <c r="G1211" s="631"/>
      <c r="H1211" s="833"/>
      <c r="I1211" s="834"/>
      <c r="J1211" s="834"/>
      <c r="K1211" s="835"/>
      <c r="L1211" s="835"/>
      <c r="M1211" s="835"/>
      <c r="N1211" s="835"/>
      <c r="O1211" s="835"/>
      <c r="P1211" s="835"/>
      <c r="Q1211" s="540"/>
      <c r="R1211" s="540"/>
      <c r="S1211" s="540"/>
      <c r="T1211" s="540"/>
      <c r="U1211" s="540"/>
      <c r="V1211" s="540"/>
      <c r="W1211" s="540"/>
      <c r="X1211" s="540"/>
      <c r="Y1211" s="540"/>
      <c r="Z1211" s="540"/>
    </row>
    <row r="1212" spans="1:26" ht="19">
      <c r="A1212" s="631"/>
      <c r="B1212" s="631"/>
      <c r="C1212" s="631"/>
      <c r="D1212" s="832"/>
      <c r="E1212" s="631"/>
      <c r="F1212" s="631"/>
      <c r="G1212" s="631"/>
      <c r="H1212" s="833"/>
      <c r="I1212" s="834"/>
      <c r="J1212" s="834"/>
      <c r="K1212" s="835"/>
      <c r="L1212" s="835"/>
      <c r="M1212" s="835"/>
      <c r="N1212" s="835"/>
      <c r="O1212" s="835"/>
      <c r="P1212" s="835"/>
      <c r="Q1212" s="540"/>
      <c r="R1212" s="540"/>
      <c r="S1212" s="540"/>
      <c r="T1212" s="540"/>
      <c r="U1212" s="540"/>
      <c r="V1212" s="540"/>
      <c r="W1212" s="540"/>
      <c r="X1212" s="540"/>
      <c r="Y1212" s="540"/>
      <c r="Z1212" s="540"/>
    </row>
    <row r="1213" spans="1:26" ht="19">
      <c r="A1213" s="631"/>
      <c r="B1213" s="631"/>
      <c r="C1213" s="631"/>
      <c r="D1213" s="832"/>
      <c r="E1213" s="631"/>
      <c r="F1213" s="631"/>
      <c r="G1213" s="631"/>
      <c r="H1213" s="833"/>
      <c r="I1213" s="834"/>
      <c r="J1213" s="834"/>
      <c r="K1213" s="835"/>
      <c r="L1213" s="835"/>
      <c r="M1213" s="835"/>
      <c r="N1213" s="835"/>
      <c r="O1213" s="835"/>
      <c r="P1213" s="835"/>
      <c r="Q1213" s="540"/>
      <c r="R1213" s="540"/>
      <c r="S1213" s="540"/>
      <c r="T1213" s="540"/>
      <c r="U1213" s="540"/>
      <c r="V1213" s="540"/>
      <c r="W1213" s="540"/>
      <c r="X1213" s="540"/>
      <c r="Y1213" s="540"/>
      <c r="Z1213" s="540"/>
    </row>
    <row r="1214" spans="1:26" ht="19">
      <c r="A1214" s="631"/>
      <c r="B1214" s="631"/>
      <c r="C1214" s="631"/>
      <c r="D1214" s="832"/>
      <c r="E1214" s="631"/>
      <c r="F1214" s="631"/>
      <c r="G1214" s="631"/>
      <c r="H1214" s="833"/>
      <c r="I1214" s="834"/>
      <c r="J1214" s="834"/>
      <c r="K1214" s="835"/>
      <c r="L1214" s="835"/>
      <c r="M1214" s="835"/>
      <c r="N1214" s="835"/>
      <c r="O1214" s="835"/>
      <c r="P1214" s="835"/>
      <c r="Q1214" s="540"/>
      <c r="R1214" s="540"/>
      <c r="S1214" s="540"/>
      <c r="T1214" s="540"/>
      <c r="U1214" s="540"/>
      <c r="V1214" s="540"/>
      <c r="W1214" s="540"/>
      <c r="X1214" s="540"/>
      <c r="Y1214" s="540"/>
      <c r="Z1214" s="540"/>
    </row>
    <row r="1215" spans="1:26" ht="19">
      <c r="A1215" s="631"/>
      <c r="B1215" s="631"/>
      <c r="C1215" s="631"/>
      <c r="D1215" s="832"/>
      <c r="E1215" s="631"/>
      <c r="F1215" s="631"/>
      <c r="G1215" s="631"/>
      <c r="H1215" s="833"/>
      <c r="I1215" s="834"/>
      <c r="J1215" s="834"/>
      <c r="K1215" s="835"/>
      <c r="L1215" s="835"/>
      <c r="M1215" s="835"/>
      <c r="N1215" s="835"/>
      <c r="O1215" s="835"/>
      <c r="P1215" s="835"/>
      <c r="Q1215" s="540"/>
      <c r="R1215" s="540"/>
      <c r="S1215" s="540"/>
      <c r="T1215" s="540"/>
      <c r="U1215" s="540"/>
      <c r="V1215" s="540"/>
      <c r="W1215" s="540"/>
      <c r="X1215" s="540"/>
      <c r="Y1215" s="540"/>
      <c r="Z1215" s="540"/>
    </row>
    <row r="1216" spans="1:26" ht="19">
      <c r="A1216" s="631"/>
      <c r="B1216" s="631"/>
      <c r="C1216" s="631"/>
      <c r="D1216" s="832"/>
      <c r="E1216" s="631"/>
      <c r="F1216" s="631"/>
      <c r="G1216" s="631"/>
      <c r="H1216" s="833"/>
      <c r="I1216" s="834"/>
      <c r="J1216" s="834"/>
      <c r="K1216" s="835"/>
      <c r="L1216" s="835"/>
      <c r="M1216" s="835"/>
      <c r="N1216" s="835"/>
      <c r="O1216" s="835"/>
      <c r="P1216" s="835"/>
      <c r="Q1216" s="540"/>
      <c r="R1216" s="540"/>
      <c r="S1216" s="540"/>
      <c r="T1216" s="540"/>
      <c r="U1216" s="540"/>
      <c r="V1216" s="540"/>
      <c r="W1216" s="540"/>
      <c r="X1216" s="540"/>
      <c r="Y1216" s="540"/>
      <c r="Z1216" s="540"/>
    </row>
    <row r="1217" spans="1:26" ht="19">
      <c r="A1217" s="631"/>
      <c r="B1217" s="631"/>
      <c r="C1217" s="631"/>
      <c r="D1217" s="832"/>
      <c r="E1217" s="631"/>
      <c r="F1217" s="631"/>
      <c r="G1217" s="631"/>
      <c r="H1217" s="833"/>
      <c r="I1217" s="834"/>
      <c r="J1217" s="834"/>
      <c r="K1217" s="835"/>
      <c r="L1217" s="835"/>
      <c r="M1217" s="835"/>
      <c r="N1217" s="835"/>
      <c r="O1217" s="835"/>
      <c r="P1217" s="835"/>
      <c r="Q1217" s="540"/>
      <c r="R1217" s="540"/>
      <c r="S1217" s="540"/>
      <c r="T1217" s="540"/>
      <c r="U1217" s="540"/>
      <c r="V1217" s="540"/>
      <c r="W1217" s="540"/>
      <c r="X1217" s="540"/>
      <c r="Y1217" s="540"/>
      <c r="Z1217" s="540"/>
    </row>
    <row r="1218" spans="1:26" ht="19">
      <c r="A1218" s="631"/>
      <c r="B1218" s="631"/>
      <c r="C1218" s="631"/>
      <c r="D1218" s="832"/>
      <c r="E1218" s="631"/>
      <c r="F1218" s="631"/>
      <c r="G1218" s="631"/>
      <c r="H1218" s="833"/>
      <c r="I1218" s="834"/>
      <c r="J1218" s="834"/>
      <c r="K1218" s="835"/>
      <c r="L1218" s="835"/>
      <c r="M1218" s="835"/>
      <c r="N1218" s="835"/>
      <c r="O1218" s="835"/>
      <c r="P1218" s="835"/>
      <c r="Q1218" s="540"/>
      <c r="R1218" s="540"/>
      <c r="S1218" s="540"/>
      <c r="T1218" s="540"/>
      <c r="U1218" s="540"/>
      <c r="V1218" s="540"/>
      <c r="W1218" s="540"/>
      <c r="X1218" s="540"/>
      <c r="Y1218" s="540"/>
      <c r="Z1218" s="540"/>
    </row>
    <row r="1219" spans="1:26" ht="19">
      <c r="A1219" s="631"/>
      <c r="B1219" s="631"/>
      <c r="C1219" s="631"/>
      <c r="D1219" s="832"/>
      <c r="E1219" s="631"/>
      <c r="F1219" s="631"/>
      <c r="G1219" s="631"/>
      <c r="H1219" s="833"/>
      <c r="I1219" s="834"/>
      <c r="J1219" s="834"/>
      <c r="K1219" s="835"/>
      <c r="L1219" s="835"/>
      <c r="M1219" s="835"/>
      <c r="N1219" s="835"/>
      <c r="O1219" s="835"/>
      <c r="P1219" s="835"/>
      <c r="Q1219" s="540"/>
      <c r="R1219" s="540"/>
      <c r="S1219" s="540"/>
      <c r="T1219" s="540"/>
      <c r="U1219" s="540"/>
      <c r="V1219" s="540"/>
      <c r="W1219" s="540"/>
      <c r="X1219" s="540"/>
      <c r="Y1219" s="540"/>
      <c r="Z1219" s="540"/>
    </row>
    <row r="1220" spans="1:26" ht="19">
      <c r="A1220" s="631"/>
      <c r="B1220" s="631"/>
      <c r="C1220" s="631"/>
      <c r="D1220" s="832"/>
      <c r="E1220" s="631"/>
      <c r="F1220" s="631"/>
      <c r="G1220" s="631"/>
      <c r="H1220" s="833"/>
      <c r="I1220" s="834"/>
      <c r="J1220" s="834"/>
      <c r="K1220" s="835"/>
      <c r="L1220" s="835"/>
      <c r="M1220" s="835"/>
      <c r="N1220" s="835"/>
      <c r="O1220" s="835"/>
      <c r="P1220" s="835"/>
      <c r="Q1220" s="540"/>
      <c r="R1220" s="540"/>
      <c r="S1220" s="540"/>
      <c r="T1220" s="540"/>
      <c r="U1220" s="540"/>
      <c r="V1220" s="540"/>
      <c r="W1220" s="540"/>
      <c r="X1220" s="540"/>
      <c r="Y1220" s="540"/>
      <c r="Z1220" s="540"/>
    </row>
    <row r="1221" spans="1:26" ht="19">
      <c r="A1221" s="631"/>
      <c r="B1221" s="631"/>
      <c r="C1221" s="631"/>
      <c r="D1221" s="832"/>
      <c r="E1221" s="631"/>
      <c r="F1221" s="631"/>
      <c r="G1221" s="631"/>
      <c r="H1221" s="833"/>
      <c r="I1221" s="834"/>
      <c r="J1221" s="834"/>
      <c r="K1221" s="835"/>
      <c r="L1221" s="835"/>
      <c r="M1221" s="835"/>
      <c r="N1221" s="835"/>
      <c r="O1221" s="835"/>
      <c r="P1221" s="835"/>
      <c r="Q1221" s="540"/>
      <c r="R1221" s="540"/>
      <c r="S1221" s="540"/>
      <c r="T1221" s="540"/>
      <c r="U1221" s="540"/>
      <c r="V1221" s="540"/>
      <c r="W1221" s="540"/>
      <c r="X1221" s="540"/>
      <c r="Y1221" s="540"/>
      <c r="Z1221" s="540"/>
    </row>
    <row r="1222" spans="1:26" ht="19">
      <c r="A1222" s="631"/>
      <c r="B1222" s="631"/>
      <c r="C1222" s="631"/>
      <c r="D1222" s="832"/>
      <c r="E1222" s="631"/>
      <c r="F1222" s="631"/>
      <c r="G1222" s="631"/>
      <c r="H1222" s="833"/>
      <c r="I1222" s="834"/>
      <c r="J1222" s="834"/>
      <c r="K1222" s="835"/>
      <c r="L1222" s="835"/>
      <c r="M1222" s="835"/>
      <c r="N1222" s="835"/>
      <c r="O1222" s="835"/>
      <c r="P1222" s="835"/>
      <c r="Q1222" s="540"/>
      <c r="R1222" s="540"/>
      <c r="S1222" s="540"/>
      <c r="T1222" s="540"/>
      <c r="U1222" s="540"/>
      <c r="V1222" s="540"/>
      <c r="W1222" s="540"/>
      <c r="X1222" s="540"/>
      <c r="Y1222" s="540"/>
      <c r="Z1222" s="540"/>
    </row>
    <row r="1223" spans="1:26" ht="19">
      <c r="A1223" s="631"/>
      <c r="B1223" s="631"/>
      <c r="C1223" s="631"/>
      <c r="D1223" s="832"/>
      <c r="E1223" s="631"/>
      <c r="F1223" s="631"/>
      <c r="G1223" s="631"/>
      <c r="H1223" s="833"/>
      <c r="I1223" s="834"/>
      <c r="J1223" s="834"/>
      <c r="K1223" s="835"/>
      <c r="L1223" s="835"/>
      <c r="M1223" s="835"/>
      <c r="N1223" s="835"/>
      <c r="O1223" s="835"/>
      <c r="P1223" s="835"/>
      <c r="Q1223" s="540"/>
      <c r="R1223" s="540"/>
      <c r="S1223" s="540"/>
      <c r="T1223" s="540"/>
      <c r="U1223" s="540"/>
      <c r="V1223" s="540"/>
      <c r="W1223" s="540"/>
      <c r="X1223" s="540"/>
      <c r="Y1223" s="540"/>
      <c r="Z1223" s="540"/>
    </row>
    <row r="1224" spans="1:26" ht="19">
      <c r="A1224" s="631"/>
      <c r="B1224" s="631"/>
      <c r="C1224" s="631"/>
      <c r="D1224" s="832"/>
      <c r="E1224" s="631"/>
      <c r="F1224" s="631"/>
      <c r="G1224" s="631"/>
      <c r="H1224" s="833"/>
      <c r="I1224" s="834"/>
      <c r="J1224" s="834"/>
      <c r="K1224" s="835"/>
      <c r="L1224" s="835"/>
      <c r="M1224" s="835"/>
      <c r="N1224" s="835"/>
      <c r="O1224" s="835"/>
      <c r="P1224" s="835"/>
      <c r="Q1224" s="540"/>
      <c r="R1224" s="540"/>
      <c r="S1224" s="540"/>
      <c r="T1224" s="540"/>
      <c r="U1224" s="540"/>
      <c r="V1224" s="540"/>
      <c r="W1224" s="540"/>
      <c r="X1224" s="540"/>
      <c r="Y1224" s="540"/>
      <c r="Z1224" s="540"/>
    </row>
    <row r="1225" spans="1:26" ht="19">
      <c r="A1225" s="631"/>
      <c r="B1225" s="631"/>
      <c r="C1225" s="631"/>
      <c r="D1225" s="832"/>
      <c r="E1225" s="631"/>
      <c r="F1225" s="631"/>
      <c r="G1225" s="631"/>
      <c r="H1225" s="833"/>
      <c r="I1225" s="834"/>
      <c r="J1225" s="834"/>
      <c r="K1225" s="835"/>
      <c r="L1225" s="835"/>
      <c r="M1225" s="835"/>
      <c r="N1225" s="835"/>
      <c r="O1225" s="835"/>
      <c r="P1225" s="835"/>
      <c r="Q1225" s="540"/>
      <c r="R1225" s="540"/>
      <c r="S1225" s="540"/>
      <c r="T1225" s="540"/>
      <c r="U1225" s="540"/>
      <c r="V1225" s="540"/>
      <c r="W1225" s="540"/>
      <c r="X1225" s="540"/>
      <c r="Y1225" s="540"/>
      <c r="Z1225" s="540"/>
    </row>
    <row r="1226" spans="1:26" ht="19">
      <c r="A1226" s="631"/>
      <c r="B1226" s="631"/>
      <c r="C1226" s="631"/>
      <c r="D1226" s="832"/>
      <c r="E1226" s="631"/>
      <c r="F1226" s="631"/>
      <c r="G1226" s="631"/>
      <c r="H1226" s="833"/>
      <c r="I1226" s="834"/>
      <c r="J1226" s="834"/>
      <c r="K1226" s="835"/>
      <c r="L1226" s="835"/>
      <c r="M1226" s="835"/>
      <c r="N1226" s="835"/>
      <c r="O1226" s="835"/>
      <c r="P1226" s="835"/>
      <c r="Q1226" s="540"/>
      <c r="R1226" s="540"/>
      <c r="S1226" s="540"/>
      <c r="T1226" s="540"/>
      <c r="U1226" s="540"/>
      <c r="V1226" s="540"/>
      <c r="W1226" s="540"/>
      <c r="X1226" s="540"/>
      <c r="Y1226" s="540"/>
      <c r="Z1226" s="540"/>
    </row>
    <row r="1227" spans="1:26" ht="19">
      <c r="A1227" s="631"/>
      <c r="B1227" s="631"/>
      <c r="C1227" s="631"/>
      <c r="D1227" s="832"/>
      <c r="E1227" s="631"/>
      <c r="F1227" s="631"/>
      <c r="G1227" s="631"/>
      <c r="H1227" s="833"/>
      <c r="I1227" s="834"/>
      <c r="J1227" s="834"/>
      <c r="K1227" s="835"/>
      <c r="L1227" s="835"/>
      <c r="M1227" s="835"/>
      <c r="N1227" s="835"/>
      <c r="O1227" s="835"/>
      <c r="P1227" s="835"/>
      <c r="Q1227" s="540"/>
      <c r="R1227" s="540"/>
      <c r="S1227" s="540"/>
      <c r="T1227" s="540"/>
      <c r="U1227" s="540"/>
      <c r="V1227" s="540"/>
      <c r="W1227" s="540"/>
      <c r="X1227" s="540"/>
      <c r="Y1227" s="540"/>
      <c r="Z1227" s="540"/>
    </row>
    <row r="1228" spans="1:26" ht="19">
      <c r="A1228" s="631"/>
      <c r="B1228" s="631"/>
      <c r="C1228" s="631"/>
      <c r="D1228" s="832"/>
      <c r="E1228" s="631"/>
      <c r="F1228" s="631"/>
      <c r="G1228" s="631"/>
      <c r="H1228" s="833"/>
      <c r="I1228" s="834"/>
      <c r="J1228" s="834"/>
      <c r="K1228" s="835"/>
      <c r="L1228" s="835"/>
      <c r="M1228" s="835"/>
      <c r="N1228" s="835"/>
      <c r="O1228" s="835"/>
      <c r="P1228" s="835"/>
      <c r="Q1228" s="540"/>
      <c r="R1228" s="540"/>
      <c r="S1228" s="540"/>
      <c r="T1228" s="540"/>
      <c r="U1228" s="540"/>
      <c r="V1228" s="540"/>
      <c r="W1228" s="540"/>
      <c r="X1228" s="540"/>
      <c r="Y1228" s="540"/>
      <c r="Z1228" s="540"/>
    </row>
    <row r="1229" spans="1:26" ht="19">
      <c r="A1229" s="631"/>
      <c r="B1229" s="631"/>
      <c r="C1229" s="631"/>
      <c r="D1229" s="832"/>
      <c r="E1229" s="631"/>
      <c r="F1229" s="631"/>
      <c r="G1229" s="631"/>
      <c r="H1229" s="833"/>
      <c r="I1229" s="834"/>
      <c r="J1229" s="834"/>
      <c r="K1229" s="835"/>
      <c r="L1229" s="835"/>
      <c r="M1229" s="835"/>
      <c r="N1229" s="835"/>
      <c r="O1229" s="835"/>
      <c r="P1229" s="835"/>
      <c r="Q1229" s="540"/>
      <c r="R1229" s="540"/>
      <c r="S1229" s="540"/>
      <c r="T1229" s="540"/>
      <c r="U1229" s="540"/>
      <c r="V1229" s="540"/>
      <c r="W1229" s="540"/>
      <c r="X1229" s="540"/>
      <c r="Y1229" s="540"/>
      <c r="Z1229" s="540"/>
    </row>
    <row r="1230" spans="1:26" ht="19">
      <c r="A1230" s="631"/>
      <c r="B1230" s="631"/>
      <c r="C1230" s="631"/>
      <c r="D1230" s="832"/>
      <c r="E1230" s="631"/>
      <c r="F1230" s="631"/>
      <c r="G1230" s="631"/>
      <c r="H1230" s="833"/>
      <c r="I1230" s="834"/>
      <c r="J1230" s="834"/>
      <c r="K1230" s="835"/>
      <c r="L1230" s="835"/>
      <c r="M1230" s="835"/>
      <c r="N1230" s="835"/>
      <c r="O1230" s="835"/>
      <c r="P1230" s="835"/>
      <c r="Q1230" s="540"/>
      <c r="R1230" s="540"/>
      <c r="S1230" s="540"/>
      <c r="T1230" s="540"/>
      <c r="U1230" s="540"/>
      <c r="V1230" s="540"/>
      <c r="W1230" s="540"/>
      <c r="X1230" s="540"/>
      <c r="Y1230" s="540"/>
      <c r="Z1230" s="540"/>
    </row>
    <row r="1231" spans="1:26" ht="19">
      <c r="A1231" s="631"/>
      <c r="B1231" s="631"/>
      <c r="C1231" s="631"/>
      <c r="D1231" s="832"/>
      <c r="E1231" s="631"/>
      <c r="F1231" s="631"/>
      <c r="G1231" s="631"/>
      <c r="H1231" s="833"/>
      <c r="I1231" s="834"/>
      <c r="J1231" s="834"/>
      <c r="K1231" s="835"/>
      <c r="L1231" s="835"/>
      <c r="M1231" s="835"/>
      <c r="N1231" s="835"/>
      <c r="O1231" s="835"/>
      <c r="P1231" s="835"/>
      <c r="Q1231" s="540"/>
      <c r="R1231" s="540"/>
      <c r="S1231" s="540"/>
      <c r="T1231" s="540"/>
      <c r="U1231" s="540"/>
      <c r="V1231" s="540"/>
      <c r="W1231" s="540"/>
      <c r="X1231" s="540"/>
      <c r="Y1231" s="540"/>
      <c r="Z1231" s="540"/>
    </row>
    <row r="1232" spans="1:26" ht="19">
      <c r="A1232" s="631"/>
      <c r="B1232" s="631"/>
      <c r="C1232" s="631"/>
      <c r="D1232" s="832"/>
      <c r="E1232" s="631"/>
      <c r="F1232" s="631"/>
      <c r="G1232" s="631"/>
      <c r="H1232" s="833"/>
      <c r="I1232" s="834"/>
      <c r="J1232" s="834"/>
      <c r="K1232" s="835"/>
      <c r="L1232" s="835"/>
      <c r="M1232" s="835"/>
      <c r="N1232" s="835"/>
      <c r="O1232" s="835"/>
      <c r="P1232" s="835"/>
      <c r="Q1232" s="540"/>
      <c r="R1232" s="540"/>
      <c r="S1232" s="540"/>
      <c r="T1232" s="540"/>
      <c r="U1232" s="540"/>
      <c r="V1232" s="540"/>
      <c r="W1232" s="540"/>
      <c r="X1232" s="540"/>
      <c r="Y1232" s="540"/>
      <c r="Z1232" s="540"/>
    </row>
    <row r="1233" spans="1:26" ht="19">
      <c r="A1233" s="631"/>
      <c r="B1233" s="631"/>
      <c r="C1233" s="631"/>
      <c r="D1233" s="832"/>
      <c r="E1233" s="631"/>
      <c r="F1233" s="631"/>
      <c r="G1233" s="631"/>
      <c r="H1233" s="833"/>
      <c r="I1233" s="834"/>
      <c r="J1233" s="834"/>
      <c r="K1233" s="835"/>
      <c r="L1233" s="835"/>
      <c r="M1233" s="835"/>
      <c r="N1233" s="835"/>
      <c r="O1233" s="835"/>
      <c r="P1233" s="835"/>
      <c r="Q1233" s="540"/>
      <c r="R1233" s="540"/>
      <c r="S1233" s="540"/>
      <c r="T1233" s="540"/>
      <c r="U1233" s="540"/>
      <c r="V1233" s="540"/>
      <c r="W1233" s="540"/>
      <c r="X1233" s="540"/>
      <c r="Y1233" s="540"/>
      <c r="Z1233" s="540"/>
    </row>
    <row r="1234" spans="1:26" ht="19">
      <c r="A1234" s="631"/>
      <c r="B1234" s="631"/>
      <c r="C1234" s="631"/>
      <c r="D1234" s="832"/>
      <c r="E1234" s="631"/>
      <c r="F1234" s="631"/>
      <c r="G1234" s="631"/>
      <c r="H1234" s="833"/>
      <c r="I1234" s="834"/>
      <c r="J1234" s="834"/>
      <c r="K1234" s="835"/>
      <c r="L1234" s="835"/>
      <c r="M1234" s="835"/>
      <c r="N1234" s="835"/>
      <c r="O1234" s="835"/>
      <c r="P1234" s="835"/>
      <c r="Q1234" s="540"/>
      <c r="R1234" s="540"/>
      <c r="S1234" s="540"/>
      <c r="T1234" s="540"/>
      <c r="U1234" s="540"/>
      <c r="V1234" s="540"/>
      <c r="W1234" s="540"/>
      <c r="X1234" s="540"/>
      <c r="Y1234" s="540"/>
      <c r="Z1234" s="540"/>
    </row>
    <row r="1235" spans="1:26" ht="19">
      <c r="A1235" s="631"/>
      <c r="B1235" s="631"/>
      <c r="C1235" s="631"/>
      <c r="D1235" s="832"/>
      <c r="E1235" s="631"/>
      <c r="F1235" s="631"/>
      <c r="G1235" s="631"/>
      <c r="H1235" s="833"/>
      <c r="I1235" s="834"/>
      <c r="J1235" s="834"/>
      <c r="K1235" s="835"/>
      <c r="L1235" s="835"/>
      <c r="M1235" s="835"/>
      <c r="N1235" s="835"/>
      <c r="O1235" s="835"/>
      <c r="P1235" s="835"/>
      <c r="Q1235" s="540"/>
      <c r="R1235" s="540"/>
      <c r="S1235" s="540"/>
      <c r="T1235" s="540"/>
      <c r="U1235" s="540"/>
      <c r="V1235" s="540"/>
      <c r="W1235" s="540"/>
      <c r="X1235" s="540"/>
      <c r="Y1235" s="540"/>
      <c r="Z1235" s="540"/>
    </row>
    <row r="1236" spans="1:26" ht="19">
      <c r="A1236" s="631"/>
      <c r="B1236" s="631"/>
      <c r="C1236" s="631"/>
      <c r="D1236" s="832"/>
      <c r="E1236" s="631"/>
      <c r="F1236" s="631"/>
      <c r="G1236" s="631"/>
      <c r="H1236" s="833"/>
      <c r="I1236" s="834"/>
      <c r="J1236" s="834"/>
      <c r="K1236" s="835"/>
      <c r="L1236" s="835"/>
      <c r="M1236" s="835"/>
      <c r="N1236" s="835"/>
      <c r="O1236" s="835"/>
      <c r="P1236" s="835"/>
      <c r="Q1236" s="540"/>
      <c r="R1236" s="540"/>
      <c r="S1236" s="540"/>
      <c r="T1236" s="540"/>
      <c r="U1236" s="540"/>
      <c r="V1236" s="540"/>
      <c r="W1236" s="540"/>
      <c r="X1236" s="540"/>
      <c r="Y1236" s="540"/>
      <c r="Z1236" s="540"/>
    </row>
    <row r="1237" spans="1:26" ht="19">
      <c r="A1237" s="631"/>
      <c r="B1237" s="631"/>
      <c r="C1237" s="631"/>
      <c r="D1237" s="832"/>
      <c r="E1237" s="631"/>
      <c r="F1237" s="631"/>
      <c r="G1237" s="631"/>
      <c r="H1237" s="833"/>
      <c r="I1237" s="834"/>
      <c r="J1237" s="834"/>
      <c r="K1237" s="835"/>
      <c r="L1237" s="835"/>
      <c r="M1237" s="835"/>
      <c r="N1237" s="835"/>
      <c r="O1237" s="835"/>
      <c r="P1237" s="835"/>
      <c r="Q1237" s="540"/>
      <c r="R1237" s="540"/>
      <c r="S1237" s="540"/>
      <c r="T1237" s="540"/>
      <c r="U1237" s="540"/>
      <c r="V1237" s="540"/>
      <c r="W1237" s="540"/>
      <c r="X1237" s="540"/>
      <c r="Y1237" s="540"/>
      <c r="Z1237" s="540"/>
    </row>
    <row r="1238" spans="1:26" ht="19">
      <c r="A1238" s="631"/>
      <c r="B1238" s="631"/>
      <c r="C1238" s="631"/>
      <c r="D1238" s="832"/>
      <c r="E1238" s="631"/>
      <c r="F1238" s="631"/>
      <c r="G1238" s="631"/>
      <c r="H1238" s="833"/>
      <c r="I1238" s="834"/>
      <c r="J1238" s="834"/>
      <c r="K1238" s="835"/>
      <c r="L1238" s="835"/>
      <c r="M1238" s="835"/>
      <c r="N1238" s="835"/>
      <c r="O1238" s="835"/>
      <c r="P1238" s="835"/>
      <c r="Q1238" s="540"/>
      <c r="R1238" s="540"/>
      <c r="S1238" s="540"/>
      <c r="T1238" s="540"/>
      <c r="U1238" s="540"/>
      <c r="V1238" s="540"/>
      <c r="W1238" s="540"/>
      <c r="X1238" s="540"/>
      <c r="Y1238" s="540"/>
      <c r="Z1238" s="540"/>
    </row>
    <row r="1239" spans="1:26" ht="19">
      <c r="A1239" s="631"/>
      <c r="B1239" s="631"/>
      <c r="C1239" s="631"/>
      <c r="D1239" s="832"/>
      <c r="E1239" s="631"/>
      <c r="F1239" s="631"/>
      <c r="G1239" s="631"/>
      <c r="H1239" s="833"/>
      <c r="I1239" s="834"/>
      <c r="J1239" s="834"/>
      <c r="K1239" s="835"/>
      <c r="L1239" s="835"/>
      <c r="M1239" s="835"/>
      <c r="N1239" s="835"/>
      <c r="O1239" s="835"/>
      <c r="P1239" s="835"/>
      <c r="Q1239" s="540"/>
      <c r="R1239" s="540"/>
      <c r="S1239" s="540"/>
      <c r="T1239" s="540"/>
      <c r="U1239" s="540"/>
      <c r="V1239" s="540"/>
      <c r="W1239" s="540"/>
      <c r="X1239" s="540"/>
      <c r="Y1239" s="540"/>
      <c r="Z1239" s="540"/>
    </row>
    <row r="1240" spans="1:26" ht="19">
      <c r="A1240" s="631"/>
      <c r="B1240" s="631"/>
      <c r="C1240" s="631"/>
      <c r="D1240" s="832"/>
      <c r="E1240" s="631"/>
      <c r="F1240" s="631"/>
      <c r="G1240" s="631"/>
      <c r="H1240" s="833"/>
      <c r="I1240" s="834"/>
      <c r="J1240" s="834"/>
      <c r="K1240" s="835"/>
      <c r="L1240" s="835"/>
      <c r="M1240" s="835"/>
      <c r="N1240" s="835"/>
      <c r="O1240" s="835"/>
      <c r="P1240" s="835"/>
      <c r="Q1240" s="540"/>
      <c r="R1240" s="540"/>
      <c r="S1240" s="540"/>
      <c r="T1240" s="540"/>
      <c r="U1240" s="540"/>
      <c r="V1240" s="540"/>
      <c r="W1240" s="540"/>
      <c r="X1240" s="540"/>
      <c r="Y1240" s="540"/>
      <c r="Z1240" s="540"/>
    </row>
    <row r="1241" spans="1:26" ht="19">
      <c r="A1241" s="631"/>
      <c r="B1241" s="631"/>
      <c r="C1241" s="631"/>
      <c r="D1241" s="832"/>
      <c r="E1241" s="631"/>
      <c r="F1241" s="631"/>
      <c r="G1241" s="631"/>
      <c r="H1241" s="833"/>
      <c r="I1241" s="834"/>
      <c r="J1241" s="834"/>
      <c r="K1241" s="835"/>
      <c r="L1241" s="835"/>
      <c r="M1241" s="835"/>
      <c r="N1241" s="835"/>
      <c r="O1241" s="835"/>
      <c r="P1241" s="835"/>
      <c r="Q1241" s="540"/>
      <c r="R1241" s="540"/>
      <c r="S1241" s="540"/>
      <c r="T1241" s="540"/>
      <c r="U1241" s="540"/>
      <c r="V1241" s="540"/>
      <c r="W1241" s="540"/>
      <c r="X1241" s="540"/>
      <c r="Y1241" s="540"/>
      <c r="Z1241" s="540"/>
    </row>
    <row r="1242" spans="1:26" ht="19">
      <c r="A1242" s="631"/>
      <c r="B1242" s="631"/>
      <c r="C1242" s="631"/>
      <c r="D1242" s="832"/>
      <c r="E1242" s="631"/>
      <c r="F1242" s="631"/>
      <c r="G1242" s="631"/>
      <c r="H1242" s="833"/>
      <c r="I1242" s="834"/>
      <c r="J1242" s="834"/>
      <c r="K1242" s="835"/>
      <c r="L1242" s="835"/>
      <c r="M1242" s="835"/>
      <c r="N1242" s="835"/>
      <c r="O1242" s="835"/>
      <c r="P1242" s="835"/>
      <c r="Q1242" s="540"/>
      <c r="R1242" s="540"/>
      <c r="S1242" s="540"/>
      <c r="T1242" s="540"/>
      <c r="U1242" s="540"/>
      <c r="V1242" s="540"/>
      <c r="W1242" s="540"/>
      <c r="X1242" s="540"/>
      <c r="Y1242" s="540"/>
      <c r="Z1242" s="540"/>
    </row>
    <row r="1243" spans="1:26" ht="19">
      <c r="A1243" s="631"/>
      <c r="B1243" s="631"/>
      <c r="C1243" s="631"/>
      <c r="D1243" s="832"/>
      <c r="E1243" s="631"/>
      <c r="F1243" s="631"/>
      <c r="G1243" s="631"/>
      <c r="H1243" s="833"/>
      <c r="I1243" s="834"/>
      <c r="J1243" s="834"/>
      <c r="K1243" s="835"/>
      <c r="L1243" s="835"/>
      <c r="M1243" s="835"/>
      <c r="N1243" s="835"/>
      <c r="O1243" s="835"/>
      <c r="P1243" s="835"/>
      <c r="Q1243" s="540"/>
      <c r="R1243" s="540"/>
      <c r="S1243" s="540"/>
      <c r="T1243" s="540"/>
      <c r="U1243" s="540"/>
      <c r="V1243" s="540"/>
      <c r="W1243" s="540"/>
      <c r="X1243" s="540"/>
      <c r="Y1243" s="540"/>
      <c r="Z1243" s="540"/>
    </row>
    <row r="1244" spans="1:26" ht="19">
      <c r="A1244" s="631"/>
      <c r="B1244" s="631"/>
      <c r="C1244" s="631"/>
      <c r="D1244" s="832"/>
      <c r="E1244" s="631"/>
      <c r="F1244" s="631"/>
      <c r="G1244" s="631"/>
      <c r="H1244" s="833"/>
      <c r="I1244" s="834"/>
      <c r="J1244" s="834"/>
      <c r="K1244" s="835"/>
      <c r="L1244" s="835"/>
      <c r="M1244" s="835"/>
      <c r="N1244" s="835"/>
      <c r="O1244" s="835"/>
      <c r="P1244" s="835"/>
      <c r="Q1244" s="540"/>
      <c r="R1244" s="540"/>
      <c r="S1244" s="540"/>
      <c r="T1244" s="540"/>
      <c r="U1244" s="540"/>
      <c r="V1244" s="540"/>
      <c r="W1244" s="540"/>
      <c r="X1244" s="540"/>
      <c r="Y1244" s="540"/>
      <c r="Z1244" s="540"/>
    </row>
    <row r="1245" spans="1:26" ht="19">
      <c r="A1245" s="631"/>
      <c r="B1245" s="631"/>
      <c r="C1245" s="631"/>
      <c r="D1245" s="832"/>
      <c r="E1245" s="631"/>
      <c r="F1245" s="631"/>
      <c r="G1245" s="631"/>
      <c r="H1245" s="833"/>
      <c r="I1245" s="834"/>
      <c r="J1245" s="834"/>
      <c r="K1245" s="835"/>
      <c r="L1245" s="835"/>
      <c r="M1245" s="835"/>
      <c r="N1245" s="835"/>
      <c r="O1245" s="835"/>
      <c r="P1245" s="835"/>
      <c r="Q1245" s="540"/>
      <c r="R1245" s="540"/>
      <c r="S1245" s="540"/>
      <c r="T1245" s="540"/>
      <c r="U1245" s="540"/>
      <c r="V1245" s="540"/>
      <c r="W1245" s="540"/>
      <c r="X1245" s="540"/>
      <c r="Y1245" s="540"/>
      <c r="Z1245" s="540"/>
    </row>
    <row r="1246" spans="1:26" ht="19">
      <c r="A1246" s="631"/>
      <c r="B1246" s="631"/>
      <c r="C1246" s="631"/>
      <c r="D1246" s="832"/>
      <c r="E1246" s="631"/>
      <c r="F1246" s="631"/>
      <c r="G1246" s="631"/>
      <c r="H1246" s="833"/>
      <c r="I1246" s="834"/>
      <c r="J1246" s="834"/>
      <c r="K1246" s="835"/>
      <c r="L1246" s="835"/>
      <c r="M1246" s="835"/>
      <c r="N1246" s="835"/>
      <c r="O1246" s="835"/>
      <c r="P1246" s="835"/>
      <c r="Q1246" s="540"/>
      <c r="R1246" s="540"/>
      <c r="S1246" s="540"/>
      <c r="T1246" s="540"/>
      <c r="U1246" s="540"/>
      <c r="V1246" s="540"/>
      <c r="W1246" s="540"/>
      <c r="X1246" s="540"/>
      <c r="Y1246" s="540"/>
      <c r="Z1246" s="540"/>
    </row>
    <row r="1247" spans="1:26" ht="19">
      <c r="A1247" s="631"/>
      <c r="B1247" s="631"/>
      <c r="C1247" s="631"/>
      <c r="D1247" s="832"/>
      <c r="E1247" s="631"/>
      <c r="F1247" s="631"/>
      <c r="G1247" s="631"/>
      <c r="H1247" s="833"/>
      <c r="I1247" s="834"/>
      <c r="J1247" s="834"/>
      <c r="K1247" s="835"/>
      <c r="L1247" s="835"/>
      <c r="M1247" s="835"/>
      <c r="N1247" s="835"/>
      <c r="O1247" s="835"/>
      <c r="P1247" s="835"/>
      <c r="Q1247" s="540"/>
      <c r="R1247" s="540"/>
      <c r="S1247" s="540"/>
      <c r="T1247" s="540"/>
      <c r="U1247" s="540"/>
      <c r="V1247" s="540"/>
      <c r="W1247" s="540"/>
      <c r="X1247" s="540"/>
      <c r="Y1247" s="540"/>
      <c r="Z1247" s="540"/>
    </row>
    <row r="1248" spans="1:26" ht="19">
      <c r="A1248" s="631"/>
      <c r="B1248" s="631"/>
      <c r="C1248" s="631"/>
      <c r="D1248" s="832"/>
      <c r="E1248" s="631"/>
      <c r="F1248" s="631"/>
      <c r="G1248" s="631"/>
      <c r="H1248" s="833"/>
      <c r="I1248" s="834"/>
      <c r="J1248" s="834"/>
      <c r="K1248" s="835"/>
      <c r="L1248" s="835"/>
      <c r="M1248" s="835"/>
      <c r="N1248" s="835"/>
      <c r="O1248" s="835"/>
      <c r="P1248" s="835"/>
      <c r="Q1248" s="540"/>
      <c r="R1248" s="540"/>
      <c r="S1248" s="540"/>
      <c r="T1248" s="540"/>
      <c r="U1248" s="540"/>
      <c r="V1248" s="540"/>
      <c r="W1248" s="540"/>
      <c r="X1248" s="540"/>
      <c r="Y1248" s="540"/>
      <c r="Z1248" s="540"/>
    </row>
    <row r="1249" spans="1:26" ht="19">
      <c r="A1249" s="631"/>
      <c r="B1249" s="631"/>
      <c r="C1249" s="631"/>
      <c r="D1249" s="832"/>
      <c r="E1249" s="631"/>
      <c r="F1249" s="631"/>
      <c r="G1249" s="631"/>
      <c r="H1249" s="833"/>
      <c r="I1249" s="834"/>
      <c r="J1249" s="834"/>
      <c r="K1249" s="835"/>
      <c r="L1249" s="835"/>
      <c r="M1249" s="835"/>
      <c r="N1249" s="835"/>
      <c r="O1249" s="835"/>
      <c r="P1249" s="835"/>
      <c r="Q1249" s="540"/>
      <c r="R1249" s="540"/>
      <c r="S1249" s="540"/>
      <c r="T1249" s="540"/>
      <c r="U1249" s="540"/>
      <c r="V1249" s="540"/>
      <c r="W1249" s="540"/>
      <c r="X1249" s="540"/>
      <c r="Y1249" s="540"/>
      <c r="Z1249" s="540"/>
    </row>
    <row r="1250" spans="1:26" ht="19">
      <c r="A1250" s="631"/>
      <c r="B1250" s="631"/>
      <c r="C1250" s="631"/>
      <c r="D1250" s="832"/>
      <c r="E1250" s="631"/>
      <c r="F1250" s="631"/>
      <c r="G1250" s="631"/>
      <c r="H1250" s="833"/>
      <c r="I1250" s="834"/>
      <c r="J1250" s="834"/>
      <c r="K1250" s="835"/>
      <c r="L1250" s="835"/>
      <c r="M1250" s="835"/>
      <c r="N1250" s="835"/>
      <c r="O1250" s="835"/>
      <c r="P1250" s="835"/>
      <c r="Q1250" s="540"/>
      <c r="R1250" s="540"/>
      <c r="S1250" s="540"/>
      <c r="T1250" s="540"/>
      <c r="U1250" s="540"/>
      <c r="V1250" s="540"/>
      <c r="W1250" s="540"/>
      <c r="X1250" s="540"/>
      <c r="Y1250" s="540"/>
      <c r="Z1250" s="540"/>
    </row>
    <row r="1251" spans="1:26" ht="19">
      <c r="A1251" s="631"/>
      <c r="B1251" s="631"/>
      <c r="C1251" s="631"/>
      <c r="D1251" s="832"/>
      <c r="E1251" s="631"/>
      <c r="F1251" s="631"/>
      <c r="G1251" s="631"/>
      <c r="H1251" s="833"/>
      <c r="I1251" s="834"/>
      <c r="J1251" s="834"/>
      <c r="K1251" s="835"/>
      <c r="L1251" s="835"/>
      <c r="M1251" s="835"/>
      <c r="N1251" s="835"/>
      <c r="O1251" s="835"/>
      <c r="P1251" s="835"/>
      <c r="Q1251" s="540"/>
      <c r="R1251" s="540"/>
      <c r="S1251" s="540"/>
      <c r="T1251" s="540"/>
      <c r="U1251" s="540"/>
      <c r="V1251" s="540"/>
      <c r="W1251" s="540"/>
      <c r="X1251" s="540"/>
      <c r="Y1251" s="540"/>
      <c r="Z1251" s="540"/>
    </row>
    <row r="1252" spans="1:26" ht="19">
      <c r="A1252" s="631"/>
      <c r="B1252" s="631"/>
      <c r="C1252" s="631"/>
      <c r="D1252" s="832"/>
      <c r="E1252" s="631"/>
      <c r="F1252" s="631"/>
      <c r="G1252" s="631"/>
      <c r="H1252" s="833"/>
      <c r="I1252" s="834"/>
      <c r="J1252" s="834"/>
      <c r="K1252" s="835"/>
      <c r="L1252" s="835"/>
      <c r="M1252" s="835"/>
      <c r="N1252" s="835"/>
      <c r="O1252" s="835"/>
      <c r="P1252" s="835"/>
      <c r="Q1252" s="540"/>
      <c r="R1252" s="540"/>
      <c r="S1252" s="540"/>
      <c r="T1252" s="540"/>
      <c r="U1252" s="540"/>
      <c r="V1252" s="540"/>
      <c r="W1252" s="540"/>
      <c r="X1252" s="540"/>
      <c r="Y1252" s="540"/>
      <c r="Z1252" s="540"/>
    </row>
    <row r="1253" spans="1:26" ht="19">
      <c r="A1253" s="631"/>
      <c r="B1253" s="631"/>
      <c r="C1253" s="631"/>
      <c r="D1253" s="832"/>
      <c r="E1253" s="631"/>
      <c r="F1253" s="631"/>
      <c r="G1253" s="631"/>
      <c r="H1253" s="833"/>
      <c r="I1253" s="834"/>
      <c r="J1253" s="834"/>
      <c r="K1253" s="835"/>
      <c r="L1253" s="835"/>
      <c r="M1253" s="835"/>
      <c r="N1253" s="835"/>
      <c r="O1253" s="835"/>
      <c r="P1253" s="835"/>
      <c r="Q1253" s="540"/>
      <c r="R1253" s="540"/>
      <c r="S1253" s="540"/>
      <c r="T1253" s="540"/>
      <c r="U1253" s="540"/>
      <c r="V1253" s="540"/>
      <c r="W1253" s="540"/>
      <c r="X1253" s="540"/>
      <c r="Y1253" s="540"/>
      <c r="Z1253" s="540"/>
    </row>
    <row r="1254" spans="1:26" ht="19">
      <c r="A1254" s="631"/>
      <c r="B1254" s="631"/>
      <c r="C1254" s="631"/>
      <c r="D1254" s="832"/>
      <c r="E1254" s="631"/>
      <c r="F1254" s="631"/>
      <c r="G1254" s="631"/>
      <c r="H1254" s="833"/>
      <c r="I1254" s="834"/>
      <c r="J1254" s="834"/>
      <c r="K1254" s="835"/>
      <c r="L1254" s="835"/>
      <c r="M1254" s="835"/>
      <c r="N1254" s="835"/>
      <c r="O1254" s="835"/>
      <c r="P1254" s="835"/>
      <c r="Q1254" s="540"/>
      <c r="R1254" s="540"/>
      <c r="S1254" s="540"/>
      <c r="T1254" s="540"/>
      <c r="U1254" s="540"/>
      <c r="V1254" s="540"/>
      <c r="W1254" s="540"/>
      <c r="X1254" s="540"/>
      <c r="Y1254" s="540"/>
      <c r="Z1254" s="540"/>
    </row>
    <row r="1255" spans="1:26" ht="19">
      <c r="A1255" s="631"/>
      <c r="B1255" s="631"/>
      <c r="C1255" s="631"/>
      <c r="D1255" s="832"/>
      <c r="E1255" s="631"/>
      <c r="F1255" s="631"/>
      <c r="G1255" s="631"/>
      <c r="H1255" s="833"/>
      <c r="I1255" s="834"/>
      <c r="J1255" s="834"/>
      <c r="K1255" s="835"/>
      <c r="L1255" s="835"/>
      <c r="M1255" s="835"/>
      <c r="N1255" s="835"/>
      <c r="O1255" s="835"/>
      <c r="P1255" s="835"/>
      <c r="Q1255" s="540"/>
      <c r="R1255" s="540"/>
      <c r="S1255" s="540"/>
      <c r="T1255" s="540"/>
      <c r="U1255" s="540"/>
      <c r="V1255" s="540"/>
      <c r="W1255" s="540"/>
      <c r="X1255" s="540"/>
      <c r="Y1255" s="540"/>
      <c r="Z1255" s="540"/>
    </row>
    <row r="1256" spans="1:26" ht="19">
      <c r="A1256" s="631"/>
      <c r="B1256" s="631"/>
      <c r="C1256" s="631"/>
      <c r="D1256" s="832"/>
      <c r="E1256" s="631"/>
      <c r="F1256" s="631"/>
      <c r="G1256" s="631"/>
      <c r="H1256" s="833"/>
      <c r="I1256" s="834"/>
      <c r="J1256" s="834"/>
      <c r="K1256" s="835"/>
      <c r="L1256" s="835"/>
      <c r="M1256" s="835"/>
      <c r="N1256" s="835"/>
      <c r="O1256" s="835"/>
      <c r="P1256" s="835"/>
      <c r="Q1256" s="540"/>
      <c r="R1256" s="540"/>
      <c r="S1256" s="540"/>
      <c r="T1256" s="540"/>
      <c r="U1256" s="540"/>
      <c r="V1256" s="540"/>
      <c r="W1256" s="540"/>
      <c r="X1256" s="540"/>
      <c r="Y1256" s="540"/>
      <c r="Z1256" s="540"/>
    </row>
    <row r="1257" spans="1:26" ht="19">
      <c r="A1257" s="631"/>
      <c r="B1257" s="631"/>
      <c r="C1257" s="631"/>
      <c r="D1257" s="832"/>
      <c r="E1257" s="631"/>
      <c r="F1257" s="631"/>
      <c r="G1257" s="631"/>
      <c r="H1257" s="833"/>
      <c r="I1257" s="834"/>
      <c r="J1257" s="834"/>
      <c r="K1257" s="835"/>
      <c r="L1257" s="835"/>
      <c r="M1257" s="835"/>
      <c r="N1257" s="835"/>
      <c r="O1257" s="835"/>
      <c r="P1257" s="835"/>
      <c r="Q1257" s="540"/>
      <c r="R1257" s="540"/>
      <c r="S1257" s="540"/>
      <c r="T1257" s="540"/>
      <c r="U1257" s="540"/>
      <c r="V1257" s="540"/>
      <c r="W1257" s="540"/>
      <c r="X1257" s="540"/>
      <c r="Y1257" s="540"/>
      <c r="Z1257" s="540"/>
    </row>
    <row r="1258" spans="1:26" ht="19">
      <c r="A1258" s="631"/>
      <c r="B1258" s="631"/>
      <c r="C1258" s="631"/>
      <c r="D1258" s="832"/>
      <c r="E1258" s="631"/>
      <c r="F1258" s="631"/>
      <c r="G1258" s="631"/>
      <c r="H1258" s="833"/>
      <c r="I1258" s="834"/>
      <c r="J1258" s="834"/>
      <c r="K1258" s="835"/>
      <c r="L1258" s="835"/>
      <c r="M1258" s="835"/>
      <c r="N1258" s="835"/>
      <c r="O1258" s="835"/>
      <c r="P1258" s="835"/>
      <c r="Q1258" s="540"/>
      <c r="R1258" s="540"/>
      <c r="S1258" s="540"/>
      <c r="T1258" s="540"/>
      <c r="U1258" s="540"/>
      <c r="V1258" s="540"/>
      <c r="W1258" s="540"/>
      <c r="X1258" s="540"/>
      <c r="Y1258" s="540"/>
      <c r="Z1258" s="540"/>
    </row>
    <row r="1259" spans="1:26" ht="19">
      <c r="A1259" s="631"/>
      <c r="B1259" s="631"/>
      <c r="C1259" s="631"/>
      <c r="D1259" s="832"/>
      <c r="E1259" s="631"/>
      <c r="F1259" s="631"/>
      <c r="G1259" s="631"/>
      <c r="H1259" s="833"/>
      <c r="I1259" s="834"/>
      <c r="J1259" s="834"/>
      <c r="K1259" s="835"/>
      <c r="L1259" s="835"/>
      <c r="M1259" s="835"/>
      <c r="N1259" s="835"/>
      <c r="O1259" s="835"/>
      <c r="P1259" s="835"/>
      <c r="Q1259" s="540"/>
      <c r="R1259" s="540"/>
      <c r="S1259" s="540"/>
      <c r="T1259" s="540"/>
      <c r="U1259" s="540"/>
      <c r="V1259" s="540"/>
      <c r="W1259" s="540"/>
      <c r="X1259" s="540"/>
      <c r="Y1259" s="540"/>
      <c r="Z1259" s="540"/>
    </row>
    <row r="1260" spans="1:26" ht="19">
      <c r="A1260" s="631"/>
      <c r="B1260" s="631"/>
      <c r="C1260" s="631"/>
      <c r="D1260" s="832"/>
      <c r="E1260" s="631"/>
      <c r="F1260" s="631"/>
      <c r="G1260" s="631"/>
      <c r="H1260" s="833"/>
      <c r="I1260" s="834"/>
      <c r="J1260" s="834"/>
      <c r="K1260" s="835"/>
      <c r="L1260" s="835"/>
      <c r="M1260" s="835"/>
      <c r="N1260" s="835"/>
      <c r="O1260" s="835"/>
      <c r="P1260" s="835"/>
      <c r="Q1260" s="540"/>
      <c r="R1260" s="540"/>
      <c r="S1260" s="540"/>
      <c r="T1260" s="540"/>
      <c r="U1260" s="540"/>
      <c r="V1260" s="540"/>
      <c r="W1260" s="540"/>
      <c r="X1260" s="540"/>
      <c r="Y1260" s="540"/>
      <c r="Z1260" s="540"/>
    </row>
    <row r="1261" spans="1:26" ht="19">
      <c r="A1261" s="631"/>
      <c r="B1261" s="631"/>
      <c r="C1261" s="631"/>
      <c r="D1261" s="832"/>
      <c r="E1261" s="631"/>
      <c r="F1261" s="631"/>
      <c r="G1261" s="631"/>
      <c r="H1261" s="833"/>
      <c r="I1261" s="834"/>
      <c r="J1261" s="834"/>
      <c r="K1261" s="835"/>
      <c r="L1261" s="835"/>
      <c r="M1261" s="835"/>
      <c r="N1261" s="835"/>
      <c r="O1261" s="835"/>
      <c r="P1261" s="835"/>
      <c r="Q1261" s="540"/>
      <c r="R1261" s="540"/>
      <c r="S1261" s="540"/>
      <c r="T1261" s="540"/>
      <c r="U1261" s="540"/>
      <c r="V1261" s="540"/>
      <c r="W1261" s="540"/>
      <c r="X1261" s="540"/>
      <c r="Y1261" s="540"/>
      <c r="Z1261" s="540"/>
    </row>
    <row r="1262" spans="1:26" ht="19">
      <c r="A1262" s="631"/>
      <c r="B1262" s="631"/>
      <c r="C1262" s="631"/>
      <c r="D1262" s="832"/>
      <c r="E1262" s="631"/>
      <c r="F1262" s="631"/>
      <c r="G1262" s="631"/>
      <c r="H1262" s="833"/>
      <c r="I1262" s="834"/>
      <c r="J1262" s="834"/>
      <c r="K1262" s="835"/>
      <c r="L1262" s="835"/>
      <c r="M1262" s="835"/>
      <c r="N1262" s="835"/>
      <c r="O1262" s="835"/>
      <c r="P1262" s="835"/>
      <c r="Q1262" s="540"/>
      <c r="R1262" s="540"/>
      <c r="S1262" s="540"/>
      <c r="T1262" s="540"/>
      <c r="U1262" s="540"/>
      <c r="V1262" s="540"/>
      <c r="W1262" s="540"/>
      <c r="X1262" s="540"/>
      <c r="Y1262" s="540"/>
      <c r="Z1262" s="540"/>
    </row>
    <row r="1263" spans="1:26" ht="19">
      <c r="A1263" s="631"/>
      <c r="B1263" s="631"/>
      <c r="C1263" s="631"/>
      <c r="D1263" s="832"/>
      <c r="E1263" s="631"/>
      <c r="F1263" s="631"/>
      <c r="G1263" s="631"/>
      <c r="H1263" s="833"/>
      <c r="I1263" s="834"/>
      <c r="J1263" s="834"/>
      <c r="K1263" s="835"/>
      <c r="L1263" s="835"/>
      <c r="M1263" s="835"/>
      <c r="N1263" s="835"/>
      <c r="O1263" s="835"/>
      <c r="P1263" s="835"/>
      <c r="Q1263" s="540"/>
      <c r="R1263" s="540"/>
      <c r="S1263" s="540"/>
      <c r="T1263" s="540"/>
      <c r="U1263" s="540"/>
      <c r="V1263" s="540"/>
      <c r="W1263" s="540"/>
      <c r="X1263" s="540"/>
      <c r="Y1263" s="540"/>
      <c r="Z1263" s="540"/>
    </row>
    <row r="1264" spans="1:26" ht="19">
      <c r="A1264" s="631"/>
      <c r="B1264" s="631"/>
      <c r="C1264" s="631"/>
      <c r="D1264" s="832"/>
      <c r="E1264" s="631"/>
      <c r="F1264" s="631"/>
      <c r="G1264" s="631"/>
      <c r="H1264" s="833"/>
      <c r="I1264" s="834"/>
      <c r="J1264" s="834"/>
      <c r="K1264" s="835"/>
      <c r="L1264" s="835"/>
      <c r="M1264" s="835"/>
      <c r="N1264" s="835"/>
      <c r="O1264" s="835"/>
      <c r="P1264" s="835"/>
      <c r="Q1264" s="540"/>
      <c r="R1264" s="540"/>
      <c r="S1264" s="540"/>
      <c r="T1264" s="540"/>
      <c r="U1264" s="540"/>
      <c r="V1264" s="540"/>
      <c r="W1264" s="540"/>
      <c r="X1264" s="540"/>
      <c r="Y1264" s="540"/>
      <c r="Z1264" s="540"/>
    </row>
    <row r="1265" spans="1:26" ht="19">
      <c r="A1265" s="631"/>
      <c r="B1265" s="631"/>
      <c r="C1265" s="631"/>
      <c r="D1265" s="832"/>
      <c r="E1265" s="631"/>
      <c r="F1265" s="631"/>
      <c r="G1265" s="631"/>
      <c r="H1265" s="833"/>
      <c r="I1265" s="834"/>
      <c r="J1265" s="834"/>
      <c r="K1265" s="835"/>
      <c r="L1265" s="835"/>
      <c r="M1265" s="835"/>
      <c r="N1265" s="835"/>
      <c r="O1265" s="835"/>
      <c r="P1265" s="835"/>
      <c r="Q1265" s="540"/>
      <c r="R1265" s="540"/>
      <c r="S1265" s="540"/>
      <c r="T1265" s="540"/>
      <c r="U1265" s="540"/>
      <c r="V1265" s="540"/>
      <c r="W1265" s="540"/>
      <c r="X1265" s="540"/>
      <c r="Y1265" s="540"/>
      <c r="Z1265" s="540"/>
    </row>
    <row r="1266" spans="1:26" ht="19">
      <c r="A1266" s="631"/>
      <c r="B1266" s="631"/>
      <c r="C1266" s="631"/>
      <c r="D1266" s="832"/>
      <c r="E1266" s="631"/>
      <c r="F1266" s="631"/>
      <c r="G1266" s="631"/>
      <c r="H1266" s="833"/>
      <c r="I1266" s="834"/>
      <c r="J1266" s="834"/>
      <c r="K1266" s="835"/>
      <c r="L1266" s="835"/>
      <c r="M1266" s="835"/>
      <c r="N1266" s="835"/>
      <c r="O1266" s="835"/>
      <c r="P1266" s="835"/>
      <c r="Q1266" s="540"/>
      <c r="R1266" s="540"/>
      <c r="S1266" s="540"/>
      <c r="T1266" s="540"/>
      <c r="U1266" s="540"/>
      <c r="V1266" s="540"/>
      <c r="W1266" s="540"/>
      <c r="X1266" s="540"/>
      <c r="Y1266" s="540"/>
      <c r="Z1266" s="540"/>
    </row>
    <row r="1267" spans="1:26" ht="19">
      <c r="A1267" s="631"/>
      <c r="B1267" s="631"/>
      <c r="C1267" s="631"/>
      <c r="D1267" s="832"/>
      <c r="E1267" s="631"/>
      <c r="F1267" s="631"/>
      <c r="G1267" s="631"/>
      <c r="H1267" s="833"/>
      <c r="I1267" s="834"/>
      <c r="J1267" s="834"/>
      <c r="K1267" s="835"/>
      <c r="L1267" s="835"/>
      <c r="M1267" s="835"/>
      <c r="N1267" s="835"/>
      <c r="O1267" s="835"/>
      <c r="P1267" s="835"/>
      <c r="Q1267" s="540"/>
      <c r="R1267" s="540"/>
      <c r="S1267" s="540"/>
      <c r="T1267" s="540"/>
      <c r="U1267" s="540"/>
      <c r="V1267" s="540"/>
      <c r="W1267" s="540"/>
      <c r="X1267" s="540"/>
      <c r="Y1267" s="540"/>
      <c r="Z1267" s="540"/>
    </row>
    <row r="1268" spans="1:26" ht="19">
      <c r="A1268" s="631"/>
      <c r="B1268" s="631"/>
      <c r="C1268" s="631"/>
      <c r="D1268" s="832"/>
      <c r="E1268" s="631"/>
      <c r="F1268" s="631"/>
      <c r="G1268" s="631"/>
      <c r="H1268" s="833"/>
      <c r="I1268" s="834"/>
      <c r="J1268" s="834"/>
      <c r="K1268" s="835"/>
      <c r="L1268" s="835"/>
      <c r="M1268" s="835"/>
      <c r="N1268" s="835"/>
      <c r="O1268" s="835"/>
      <c r="P1268" s="835"/>
      <c r="Q1268" s="540"/>
      <c r="R1268" s="540"/>
      <c r="S1268" s="540"/>
      <c r="T1268" s="540"/>
      <c r="U1268" s="540"/>
      <c r="V1268" s="540"/>
      <c r="W1268" s="540"/>
      <c r="X1268" s="540"/>
      <c r="Y1268" s="540"/>
      <c r="Z1268" s="540"/>
    </row>
    <row r="1269" spans="1:26" ht="19">
      <c r="A1269" s="631"/>
      <c r="B1269" s="631"/>
      <c r="C1269" s="631"/>
      <c r="D1269" s="832"/>
      <c r="E1269" s="631"/>
      <c r="F1269" s="631"/>
      <c r="G1269" s="631"/>
      <c r="H1269" s="833"/>
      <c r="I1269" s="834"/>
      <c r="J1269" s="834"/>
      <c r="K1269" s="835"/>
      <c r="L1269" s="835"/>
      <c r="M1269" s="835"/>
      <c r="N1269" s="835"/>
      <c r="O1269" s="835"/>
      <c r="P1269" s="835"/>
      <c r="Q1269" s="540"/>
      <c r="R1269" s="540"/>
      <c r="S1269" s="540"/>
      <c r="T1269" s="540"/>
      <c r="U1269" s="540"/>
      <c r="V1269" s="540"/>
      <c r="W1269" s="540"/>
      <c r="X1269" s="540"/>
      <c r="Y1269" s="540"/>
      <c r="Z1269" s="540"/>
    </row>
    <row r="1270" spans="1:26" ht="19">
      <c r="A1270" s="631"/>
      <c r="B1270" s="631"/>
      <c r="C1270" s="631"/>
      <c r="D1270" s="832"/>
      <c r="E1270" s="631"/>
      <c r="F1270" s="631"/>
      <c r="G1270" s="631"/>
      <c r="H1270" s="833"/>
      <c r="I1270" s="834"/>
      <c r="J1270" s="834"/>
      <c r="K1270" s="835"/>
      <c r="L1270" s="835"/>
      <c r="M1270" s="835"/>
      <c r="N1270" s="835"/>
      <c r="O1270" s="835"/>
      <c r="P1270" s="835"/>
      <c r="Q1270" s="540"/>
      <c r="R1270" s="540"/>
      <c r="S1270" s="540"/>
      <c r="T1270" s="540"/>
      <c r="U1270" s="540"/>
      <c r="V1270" s="540"/>
      <c r="W1270" s="540"/>
      <c r="X1270" s="540"/>
      <c r="Y1270" s="540"/>
      <c r="Z1270" s="540"/>
    </row>
    <row r="1271" spans="1:26" ht="19">
      <c r="A1271" s="631"/>
      <c r="B1271" s="631"/>
      <c r="C1271" s="631"/>
      <c r="D1271" s="832"/>
      <c r="E1271" s="631"/>
      <c r="F1271" s="631"/>
      <c r="G1271" s="631"/>
      <c r="H1271" s="833"/>
      <c r="I1271" s="834"/>
      <c r="J1271" s="834"/>
      <c r="K1271" s="835"/>
      <c r="L1271" s="835"/>
      <c r="M1271" s="835"/>
      <c r="N1271" s="835"/>
      <c r="O1271" s="835"/>
      <c r="P1271" s="835"/>
      <c r="Q1271" s="540"/>
      <c r="R1271" s="540"/>
      <c r="S1271" s="540"/>
      <c r="T1271" s="540"/>
      <c r="U1271" s="540"/>
      <c r="V1271" s="540"/>
      <c r="W1271" s="540"/>
      <c r="X1271" s="540"/>
      <c r="Y1271" s="540"/>
      <c r="Z1271" s="540"/>
    </row>
    <row r="1272" spans="1:26" ht="19">
      <c r="A1272" s="631"/>
      <c r="B1272" s="631"/>
      <c r="C1272" s="631"/>
      <c r="D1272" s="832"/>
      <c r="E1272" s="631"/>
      <c r="F1272" s="631"/>
      <c r="G1272" s="631"/>
      <c r="H1272" s="833"/>
      <c r="I1272" s="834"/>
      <c r="J1272" s="834"/>
      <c r="K1272" s="835"/>
      <c r="L1272" s="835"/>
      <c r="M1272" s="835"/>
      <c r="N1272" s="835"/>
      <c r="O1272" s="835"/>
      <c r="P1272" s="835"/>
      <c r="Q1272" s="540"/>
      <c r="R1272" s="540"/>
      <c r="S1272" s="540"/>
      <c r="T1272" s="540"/>
      <c r="U1272" s="540"/>
      <c r="V1272" s="540"/>
      <c r="W1272" s="540"/>
      <c r="X1272" s="540"/>
      <c r="Y1272" s="540"/>
      <c r="Z1272" s="540"/>
    </row>
    <row r="1273" spans="1:26" ht="19">
      <c r="A1273" s="631"/>
      <c r="B1273" s="631"/>
      <c r="C1273" s="631"/>
      <c r="D1273" s="832"/>
      <c r="E1273" s="631"/>
      <c r="F1273" s="631"/>
      <c r="G1273" s="631"/>
      <c r="H1273" s="833"/>
      <c r="I1273" s="834"/>
      <c r="J1273" s="834"/>
      <c r="K1273" s="835"/>
      <c r="L1273" s="835"/>
      <c r="M1273" s="835"/>
      <c r="N1273" s="835"/>
      <c r="O1273" s="835"/>
      <c r="P1273" s="835"/>
      <c r="Q1273" s="540"/>
      <c r="R1273" s="540"/>
      <c r="S1273" s="540"/>
      <c r="T1273" s="540"/>
      <c r="U1273" s="540"/>
      <c r="V1273" s="540"/>
      <c r="W1273" s="540"/>
      <c r="X1273" s="540"/>
      <c r="Y1273" s="540"/>
      <c r="Z1273" s="540"/>
    </row>
    <row r="1274" spans="1:26" ht="19">
      <c r="A1274" s="631"/>
      <c r="B1274" s="631"/>
      <c r="C1274" s="631"/>
      <c r="D1274" s="832"/>
      <c r="E1274" s="631"/>
      <c r="F1274" s="631"/>
      <c r="G1274" s="631"/>
      <c r="H1274" s="833"/>
      <c r="I1274" s="834"/>
      <c r="J1274" s="834"/>
      <c r="K1274" s="835"/>
      <c r="L1274" s="835"/>
      <c r="M1274" s="835"/>
      <c r="N1274" s="835"/>
      <c r="O1274" s="835"/>
      <c r="P1274" s="835"/>
      <c r="Q1274" s="540"/>
      <c r="R1274" s="540"/>
      <c r="S1274" s="540"/>
      <c r="T1274" s="540"/>
      <c r="U1274" s="540"/>
      <c r="V1274" s="540"/>
      <c r="W1274" s="540"/>
      <c r="X1274" s="540"/>
      <c r="Y1274" s="540"/>
      <c r="Z1274" s="540"/>
    </row>
    <row r="1275" spans="1:26" ht="19">
      <c r="A1275" s="631"/>
      <c r="B1275" s="631"/>
      <c r="C1275" s="631"/>
      <c r="D1275" s="832"/>
      <c r="E1275" s="631"/>
      <c r="F1275" s="631"/>
      <c r="G1275" s="631"/>
      <c r="H1275" s="833"/>
      <c r="I1275" s="834"/>
      <c r="J1275" s="834"/>
      <c r="K1275" s="835"/>
      <c r="L1275" s="835"/>
      <c r="M1275" s="835"/>
      <c r="N1275" s="835"/>
      <c r="O1275" s="835"/>
      <c r="P1275" s="835"/>
      <c r="Q1275" s="540"/>
      <c r="R1275" s="540"/>
      <c r="S1275" s="540"/>
      <c r="T1275" s="540"/>
      <c r="U1275" s="540"/>
      <c r="V1275" s="540"/>
      <c r="W1275" s="540"/>
      <c r="X1275" s="540"/>
      <c r="Y1275" s="540"/>
      <c r="Z1275" s="540"/>
    </row>
    <row r="1276" spans="1:26" ht="19">
      <c r="A1276" s="631"/>
      <c r="B1276" s="631"/>
      <c r="C1276" s="631"/>
      <c r="D1276" s="832"/>
      <c r="E1276" s="631"/>
      <c r="F1276" s="631"/>
      <c r="G1276" s="631"/>
      <c r="H1276" s="833"/>
      <c r="I1276" s="834"/>
      <c r="J1276" s="834"/>
      <c r="K1276" s="835"/>
      <c r="L1276" s="835"/>
      <c r="M1276" s="835"/>
      <c r="N1276" s="835"/>
      <c r="O1276" s="835"/>
      <c r="P1276" s="835"/>
      <c r="Q1276" s="540"/>
      <c r="R1276" s="540"/>
      <c r="S1276" s="540"/>
      <c r="T1276" s="540"/>
      <c r="U1276" s="540"/>
      <c r="V1276" s="540"/>
      <c r="W1276" s="540"/>
      <c r="X1276" s="540"/>
      <c r="Y1276" s="540"/>
      <c r="Z1276" s="540"/>
    </row>
    <row r="1277" spans="1:26" ht="19">
      <c r="A1277" s="631"/>
      <c r="B1277" s="631"/>
      <c r="C1277" s="631"/>
      <c r="D1277" s="832"/>
      <c r="E1277" s="631"/>
      <c r="F1277" s="631"/>
      <c r="G1277" s="631"/>
      <c r="H1277" s="833"/>
      <c r="I1277" s="834"/>
      <c r="J1277" s="834"/>
      <c r="K1277" s="835"/>
      <c r="L1277" s="835"/>
      <c r="M1277" s="835"/>
      <c r="N1277" s="835"/>
      <c r="O1277" s="835"/>
      <c r="P1277" s="835"/>
      <c r="Q1277" s="540"/>
      <c r="R1277" s="540"/>
      <c r="S1277" s="540"/>
      <c r="T1277" s="540"/>
      <c r="U1277" s="540"/>
      <c r="V1277" s="540"/>
      <c r="W1277" s="540"/>
      <c r="X1277" s="540"/>
      <c r="Y1277" s="540"/>
      <c r="Z1277" s="540"/>
    </row>
    <row r="1278" spans="1:26" ht="19">
      <c r="A1278" s="631"/>
      <c r="B1278" s="631"/>
      <c r="C1278" s="631"/>
      <c r="D1278" s="832"/>
      <c r="E1278" s="631"/>
      <c r="F1278" s="631"/>
      <c r="G1278" s="631"/>
      <c r="H1278" s="833"/>
      <c r="I1278" s="834"/>
      <c r="J1278" s="834"/>
      <c r="K1278" s="835"/>
      <c r="L1278" s="835"/>
      <c r="M1278" s="835"/>
      <c r="N1278" s="835"/>
      <c r="O1278" s="835"/>
      <c r="P1278" s="835"/>
      <c r="Q1278" s="540"/>
      <c r="R1278" s="540"/>
      <c r="S1278" s="540"/>
      <c r="T1278" s="540"/>
      <c r="U1278" s="540"/>
      <c r="V1278" s="540"/>
      <c r="W1278" s="540"/>
      <c r="X1278" s="540"/>
      <c r="Y1278" s="540"/>
      <c r="Z1278" s="540"/>
    </row>
    <row r="1279" spans="1:26" ht="19">
      <c r="A1279" s="631"/>
      <c r="B1279" s="631"/>
      <c r="C1279" s="631"/>
      <c r="D1279" s="832"/>
      <c r="E1279" s="631"/>
      <c r="F1279" s="631"/>
      <c r="G1279" s="631"/>
      <c r="H1279" s="833"/>
      <c r="I1279" s="834"/>
      <c r="J1279" s="834"/>
      <c r="K1279" s="835"/>
      <c r="L1279" s="835"/>
      <c r="M1279" s="835"/>
      <c r="N1279" s="835"/>
      <c r="O1279" s="835"/>
      <c r="P1279" s="835"/>
      <c r="Q1279" s="540"/>
      <c r="R1279" s="540"/>
      <c r="S1279" s="540"/>
      <c r="T1279" s="540"/>
      <c r="U1279" s="540"/>
      <c r="V1279" s="540"/>
      <c r="W1279" s="540"/>
      <c r="X1279" s="540"/>
      <c r="Y1279" s="540"/>
      <c r="Z1279" s="540"/>
    </row>
    <row r="1280" spans="1:26" ht="19">
      <c r="A1280" s="631"/>
      <c r="B1280" s="631"/>
      <c r="C1280" s="631"/>
      <c r="D1280" s="832"/>
      <c r="E1280" s="631"/>
      <c r="F1280" s="631"/>
      <c r="G1280" s="631"/>
      <c r="H1280" s="833"/>
      <c r="I1280" s="834"/>
      <c r="J1280" s="834"/>
      <c r="K1280" s="835"/>
      <c r="L1280" s="835"/>
      <c r="M1280" s="835"/>
      <c r="N1280" s="835"/>
      <c r="O1280" s="835"/>
      <c r="P1280" s="835"/>
      <c r="Q1280" s="540"/>
      <c r="R1280" s="540"/>
      <c r="S1280" s="540"/>
      <c r="T1280" s="540"/>
      <c r="U1280" s="540"/>
      <c r="V1280" s="540"/>
      <c r="W1280" s="540"/>
      <c r="X1280" s="540"/>
      <c r="Y1280" s="540"/>
      <c r="Z1280" s="540"/>
    </row>
    <row r="1281" spans="1:26" ht="19">
      <c r="A1281" s="631"/>
      <c r="B1281" s="631"/>
      <c r="C1281" s="631"/>
      <c r="D1281" s="832"/>
      <c r="E1281" s="631"/>
      <c r="F1281" s="631"/>
      <c r="G1281" s="631"/>
      <c r="H1281" s="833"/>
      <c r="I1281" s="834"/>
      <c r="J1281" s="834"/>
      <c r="K1281" s="835"/>
      <c r="L1281" s="835"/>
      <c r="M1281" s="835"/>
      <c r="N1281" s="835"/>
      <c r="O1281" s="835"/>
      <c r="P1281" s="835"/>
      <c r="Q1281" s="540"/>
      <c r="R1281" s="540"/>
      <c r="S1281" s="540"/>
      <c r="T1281" s="540"/>
      <c r="U1281" s="540"/>
      <c r="V1281" s="540"/>
      <c r="W1281" s="540"/>
      <c r="X1281" s="540"/>
      <c r="Y1281" s="540"/>
      <c r="Z1281" s="540"/>
    </row>
    <row r="1282" spans="1:26" ht="19">
      <c r="A1282" s="631"/>
      <c r="B1282" s="631"/>
      <c r="C1282" s="631"/>
      <c r="D1282" s="832"/>
      <c r="E1282" s="631"/>
      <c r="F1282" s="631"/>
      <c r="G1282" s="631"/>
      <c r="H1282" s="833"/>
      <c r="I1282" s="834"/>
      <c r="J1282" s="834"/>
      <c r="K1282" s="835"/>
      <c r="L1282" s="835"/>
      <c r="M1282" s="835"/>
      <c r="N1282" s="835"/>
      <c r="O1282" s="835"/>
      <c r="P1282" s="835"/>
      <c r="Q1282" s="540"/>
      <c r="R1282" s="540"/>
      <c r="S1282" s="540"/>
      <c r="T1282" s="540"/>
      <c r="U1282" s="540"/>
      <c r="V1282" s="540"/>
      <c r="W1282" s="540"/>
      <c r="X1282" s="540"/>
      <c r="Y1282" s="540"/>
      <c r="Z1282" s="540"/>
    </row>
    <row r="1283" spans="1:26" ht="19">
      <c r="A1283" s="631"/>
      <c r="B1283" s="631"/>
      <c r="C1283" s="631"/>
      <c r="D1283" s="832"/>
      <c r="E1283" s="631"/>
      <c r="F1283" s="631"/>
      <c r="G1283" s="631"/>
      <c r="H1283" s="833"/>
      <c r="I1283" s="834"/>
      <c r="J1283" s="834"/>
      <c r="K1283" s="835"/>
      <c r="L1283" s="835"/>
      <c r="M1283" s="835"/>
      <c r="N1283" s="835"/>
      <c r="O1283" s="835"/>
      <c r="P1283" s="835"/>
      <c r="Q1283" s="540"/>
      <c r="R1283" s="540"/>
      <c r="S1283" s="540"/>
      <c r="T1283" s="540"/>
      <c r="U1283" s="540"/>
      <c r="V1283" s="540"/>
      <c r="W1283" s="540"/>
      <c r="X1283" s="540"/>
      <c r="Y1283" s="540"/>
      <c r="Z1283" s="540"/>
    </row>
    <row r="1284" spans="1:26" ht="19">
      <c r="A1284" s="631"/>
      <c r="B1284" s="631"/>
      <c r="C1284" s="631"/>
      <c r="D1284" s="832"/>
      <c r="E1284" s="631"/>
      <c r="F1284" s="631"/>
      <c r="G1284" s="631"/>
      <c r="H1284" s="833"/>
      <c r="I1284" s="834"/>
      <c r="J1284" s="834"/>
      <c r="K1284" s="835"/>
      <c r="L1284" s="835"/>
      <c r="M1284" s="835"/>
      <c r="N1284" s="835"/>
      <c r="O1284" s="835"/>
      <c r="P1284" s="835"/>
      <c r="Q1284" s="540"/>
      <c r="R1284" s="540"/>
      <c r="S1284" s="540"/>
      <c r="T1284" s="540"/>
      <c r="U1284" s="540"/>
      <c r="V1284" s="540"/>
      <c r="W1284" s="540"/>
      <c r="X1284" s="540"/>
      <c r="Y1284" s="540"/>
      <c r="Z1284" s="540"/>
    </row>
    <row r="1285" spans="1:26" ht="19">
      <c r="A1285" s="631"/>
      <c r="B1285" s="631"/>
      <c r="C1285" s="631"/>
      <c r="D1285" s="832"/>
      <c r="E1285" s="631"/>
      <c r="F1285" s="631"/>
      <c r="G1285" s="631"/>
      <c r="H1285" s="833"/>
      <c r="I1285" s="834"/>
      <c r="J1285" s="834"/>
      <c r="K1285" s="835"/>
      <c r="L1285" s="835"/>
      <c r="M1285" s="835"/>
      <c r="N1285" s="835"/>
      <c r="O1285" s="835"/>
      <c r="P1285" s="835"/>
      <c r="Q1285" s="540"/>
      <c r="R1285" s="540"/>
      <c r="S1285" s="540"/>
      <c r="T1285" s="540"/>
      <c r="U1285" s="540"/>
      <c r="V1285" s="540"/>
      <c r="W1285" s="540"/>
      <c r="X1285" s="540"/>
      <c r="Y1285" s="540"/>
      <c r="Z1285" s="540"/>
    </row>
    <row r="1286" spans="1:26" ht="19">
      <c r="A1286" s="631"/>
      <c r="B1286" s="631"/>
      <c r="C1286" s="631"/>
      <c r="D1286" s="832"/>
      <c r="E1286" s="631"/>
      <c r="F1286" s="631"/>
      <c r="G1286" s="631"/>
      <c r="H1286" s="833"/>
      <c r="I1286" s="834"/>
      <c r="J1286" s="834"/>
      <c r="K1286" s="835"/>
      <c r="L1286" s="835"/>
      <c r="M1286" s="835"/>
      <c r="N1286" s="835"/>
      <c r="O1286" s="835"/>
      <c r="P1286" s="835"/>
      <c r="Q1286" s="540"/>
      <c r="R1286" s="540"/>
      <c r="S1286" s="540"/>
      <c r="T1286" s="540"/>
      <c r="U1286" s="540"/>
      <c r="V1286" s="540"/>
      <c r="W1286" s="540"/>
      <c r="X1286" s="540"/>
      <c r="Y1286" s="540"/>
      <c r="Z1286" s="540"/>
    </row>
    <row r="1287" spans="1:26" ht="19">
      <c r="A1287" s="631"/>
      <c r="B1287" s="631"/>
      <c r="C1287" s="631"/>
      <c r="D1287" s="832"/>
      <c r="E1287" s="631"/>
      <c r="F1287" s="631"/>
      <c r="G1287" s="631"/>
      <c r="H1287" s="833"/>
      <c r="I1287" s="834"/>
      <c r="J1287" s="834"/>
      <c r="K1287" s="835"/>
      <c r="L1287" s="835"/>
      <c r="M1287" s="835"/>
      <c r="N1287" s="835"/>
      <c r="O1287" s="835"/>
      <c r="P1287" s="835"/>
      <c r="Q1287" s="540"/>
      <c r="R1287" s="540"/>
      <c r="S1287" s="540"/>
      <c r="T1287" s="540"/>
      <c r="U1287" s="540"/>
      <c r="V1287" s="540"/>
      <c r="W1287" s="540"/>
      <c r="X1287" s="540"/>
      <c r="Y1287" s="540"/>
      <c r="Z1287" s="540"/>
    </row>
    <row r="1288" spans="1:26" ht="19">
      <c r="A1288" s="631"/>
      <c r="B1288" s="631"/>
      <c r="C1288" s="631"/>
      <c r="D1288" s="832"/>
      <c r="E1288" s="631"/>
      <c r="F1288" s="631"/>
      <c r="G1288" s="631"/>
      <c r="H1288" s="833"/>
      <c r="I1288" s="834"/>
      <c r="J1288" s="834"/>
      <c r="K1288" s="835"/>
      <c r="L1288" s="835"/>
      <c r="M1288" s="835"/>
      <c r="N1288" s="835"/>
      <c r="O1288" s="835"/>
      <c r="P1288" s="835"/>
      <c r="Q1288" s="540"/>
      <c r="R1288" s="540"/>
      <c r="S1288" s="540"/>
      <c r="T1288" s="540"/>
      <c r="U1288" s="540"/>
      <c r="V1288" s="540"/>
      <c r="W1288" s="540"/>
      <c r="X1288" s="540"/>
      <c r="Y1288" s="540"/>
      <c r="Z1288" s="540"/>
    </row>
    <row r="1289" spans="1:26" ht="19">
      <c r="A1289" s="631"/>
      <c r="B1289" s="631"/>
      <c r="C1289" s="631"/>
      <c r="D1289" s="832"/>
      <c r="E1289" s="631"/>
      <c r="F1289" s="631"/>
      <c r="G1289" s="631"/>
      <c r="H1289" s="833"/>
      <c r="I1289" s="834"/>
      <c r="J1289" s="834"/>
      <c r="K1289" s="835"/>
      <c r="L1289" s="835"/>
      <c r="M1289" s="835"/>
      <c r="N1289" s="835"/>
      <c r="O1289" s="835"/>
      <c r="P1289" s="835"/>
      <c r="Q1289" s="540"/>
      <c r="R1289" s="540"/>
      <c r="S1289" s="540"/>
      <c r="T1289" s="540"/>
      <c r="U1289" s="540"/>
      <c r="V1289" s="540"/>
      <c r="W1289" s="540"/>
      <c r="X1289" s="540"/>
      <c r="Y1289" s="540"/>
      <c r="Z1289" s="540"/>
    </row>
    <row r="1290" spans="1:26" ht="19">
      <c r="A1290" s="631"/>
      <c r="B1290" s="631"/>
      <c r="C1290" s="631"/>
      <c r="D1290" s="832"/>
      <c r="E1290" s="631"/>
      <c r="F1290" s="631"/>
      <c r="G1290" s="631"/>
      <c r="H1290" s="833"/>
      <c r="I1290" s="834"/>
      <c r="J1290" s="834"/>
      <c r="K1290" s="835"/>
      <c r="L1290" s="835"/>
      <c r="M1290" s="835"/>
      <c r="N1290" s="835"/>
      <c r="O1290" s="835"/>
      <c r="P1290" s="835"/>
      <c r="Q1290" s="540"/>
      <c r="R1290" s="540"/>
      <c r="S1290" s="540"/>
      <c r="T1290" s="540"/>
      <c r="U1290" s="540"/>
      <c r="V1290" s="540"/>
      <c r="W1290" s="540"/>
      <c r="X1290" s="540"/>
      <c r="Y1290" s="540"/>
      <c r="Z1290" s="540"/>
    </row>
    <row r="1291" spans="1:26" ht="19">
      <c r="A1291" s="631"/>
      <c r="B1291" s="631"/>
      <c r="C1291" s="631"/>
      <c r="D1291" s="832"/>
      <c r="E1291" s="631"/>
      <c r="F1291" s="631"/>
      <c r="G1291" s="631"/>
      <c r="H1291" s="833"/>
      <c r="I1291" s="834"/>
      <c r="J1291" s="834"/>
      <c r="K1291" s="835"/>
      <c r="L1291" s="835"/>
      <c r="M1291" s="835"/>
      <c r="N1291" s="835"/>
      <c r="O1291" s="835"/>
      <c r="P1291" s="835"/>
      <c r="Q1291" s="540"/>
      <c r="R1291" s="540"/>
      <c r="S1291" s="540"/>
      <c r="T1291" s="540"/>
      <c r="U1291" s="540"/>
      <c r="V1291" s="540"/>
      <c r="W1291" s="540"/>
      <c r="X1291" s="540"/>
      <c r="Y1291" s="540"/>
      <c r="Z1291" s="540"/>
    </row>
    <row r="1292" spans="1:26" ht="19">
      <c r="A1292" s="631"/>
      <c r="B1292" s="631"/>
      <c r="C1292" s="631"/>
      <c r="D1292" s="832"/>
      <c r="E1292" s="631"/>
      <c r="F1292" s="631"/>
      <c r="G1292" s="631"/>
      <c r="H1292" s="833"/>
      <c r="I1292" s="834"/>
      <c r="J1292" s="834"/>
      <c r="K1292" s="835"/>
      <c r="L1292" s="835"/>
      <c r="M1292" s="835"/>
      <c r="N1292" s="835"/>
      <c r="O1292" s="835"/>
      <c r="P1292" s="835"/>
      <c r="Q1292" s="540"/>
      <c r="R1292" s="540"/>
      <c r="S1292" s="540"/>
      <c r="T1292" s="540"/>
      <c r="U1292" s="540"/>
      <c r="V1292" s="540"/>
      <c r="W1292" s="540"/>
      <c r="X1292" s="540"/>
      <c r="Y1292" s="540"/>
      <c r="Z1292" s="540"/>
    </row>
    <row r="1293" spans="1:26" ht="19">
      <c r="A1293" s="631"/>
      <c r="B1293" s="631"/>
      <c r="C1293" s="631"/>
      <c r="D1293" s="832"/>
      <c r="E1293" s="631"/>
      <c r="F1293" s="631"/>
      <c r="G1293" s="631"/>
      <c r="H1293" s="833"/>
      <c r="I1293" s="834"/>
      <c r="J1293" s="834"/>
      <c r="K1293" s="835"/>
      <c r="L1293" s="835"/>
      <c r="M1293" s="835"/>
      <c r="N1293" s="835"/>
      <c r="O1293" s="835"/>
      <c r="P1293" s="835"/>
      <c r="Q1293" s="540"/>
      <c r="R1293" s="540"/>
      <c r="S1293" s="540"/>
      <c r="T1293" s="540"/>
      <c r="U1293" s="540"/>
      <c r="V1293" s="540"/>
      <c r="W1293" s="540"/>
      <c r="X1293" s="540"/>
      <c r="Y1293" s="540"/>
      <c r="Z1293" s="540"/>
    </row>
    <row r="1294" spans="1:26" ht="19">
      <c r="A1294" s="631"/>
      <c r="B1294" s="631"/>
      <c r="C1294" s="631"/>
      <c r="D1294" s="832"/>
      <c r="E1294" s="631"/>
      <c r="F1294" s="631"/>
      <c r="G1294" s="631"/>
      <c r="H1294" s="833"/>
      <c r="I1294" s="834"/>
      <c r="J1294" s="834"/>
      <c r="K1294" s="835"/>
      <c r="L1294" s="835"/>
      <c r="M1294" s="835"/>
      <c r="N1294" s="835"/>
      <c r="O1294" s="835"/>
      <c r="P1294" s="835"/>
      <c r="Q1294" s="540"/>
      <c r="R1294" s="540"/>
      <c r="S1294" s="540"/>
      <c r="T1294" s="540"/>
      <c r="U1294" s="540"/>
      <c r="V1294" s="540"/>
      <c r="W1294" s="540"/>
      <c r="X1294" s="540"/>
      <c r="Y1294" s="540"/>
      <c r="Z1294" s="540"/>
    </row>
    <row r="1295" spans="1:26" ht="19">
      <c r="A1295" s="631"/>
      <c r="B1295" s="631"/>
      <c r="C1295" s="631"/>
      <c r="D1295" s="832"/>
      <c r="E1295" s="631"/>
      <c r="F1295" s="631"/>
      <c r="G1295" s="631"/>
      <c r="H1295" s="833"/>
      <c r="I1295" s="834"/>
      <c r="J1295" s="834"/>
      <c r="K1295" s="835"/>
      <c r="L1295" s="835"/>
      <c r="M1295" s="835"/>
      <c r="N1295" s="835"/>
      <c r="O1295" s="835"/>
      <c r="P1295" s="835"/>
      <c r="Q1295" s="540"/>
      <c r="R1295" s="540"/>
      <c r="S1295" s="540"/>
      <c r="T1295" s="540"/>
      <c r="U1295" s="540"/>
      <c r="V1295" s="540"/>
      <c r="W1295" s="540"/>
      <c r="X1295" s="540"/>
      <c r="Y1295" s="540"/>
      <c r="Z1295" s="540"/>
    </row>
    <row r="1296" spans="1:26" ht="19">
      <c r="A1296" s="631"/>
      <c r="B1296" s="631"/>
      <c r="C1296" s="631"/>
      <c r="D1296" s="832"/>
      <c r="E1296" s="631"/>
      <c r="F1296" s="631"/>
      <c r="G1296" s="631"/>
      <c r="H1296" s="833"/>
      <c r="I1296" s="834"/>
      <c r="J1296" s="834"/>
      <c r="K1296" s="835"/>
      <c r="L1296" s="835"/>
      <c r="M1296" s="835"/>
      <c r="N1296" s="835"/>
      <c r="O1296" s="835"/>
      <c r="P1296" s="835"/>
      <c r="Q1296" s="540"/>
      <c r="R1296" s="540"/>
      <c r="S1296" s="540"/>
      <c r="T1296" s="540"/>
      <c r="U1296" s="540"/>
      <c r="V1296" s="540"/>
      <c r="W1296" s="540"/>
      <c r="X1296" s="540"/>
      <c r="Y1296" s="540"/>
      <c r="Z1296" s="540"/>
    </row>
    <row r="1297" spans="1:26" ht="19">
      <c r="A1297" s="631"/>
      <c r="B1297" s="631"/>
      <c r="C1297" s="631"/>
      <c r="D1297" s="832"/>
      <c r="E1297" s="631"/>
      <c r="F1297" s="631"/>
      <c r="G1297" s="631"/>
      <c r="H1297" s="833"/>
      <c r="I1297" s="834"/>
      <c r="J1297" s="834"/>
      <c r="K1297" s="835"/>
      <c r="L1297" s="835"/>
      <c r="M1297" s="835"/>
      <c r="N1297" s="835"/>
      <c r="O1297" s="835"/>
      <c r="P1297" s="835"/>
      <c r="Q1297" s="540"/>
      <c r="R1297" s="540"/>
      <c r="S1297" s="540"/>
      <c r="T1297" s="540"/>
      <c r="U1297" s="540"/>
      <c r="V1297" s="540"/>
      <c r="W1297" s="540"/>
      <c r="X1297" s="540"/>
      <c r="Y1297" s="540"/>
      <c r="Z1297" s="540"/>
    </row>
    <row r="1298" spans="1:26" ht="19">
      <c r="A1298" s="631"/>
      <c r="B1298" s="631"/>
      <c r="C1298" s="631"/>
      <c r="D1298" s="832"/>
      <c r="E1298" s="631"/>
      <c r="F1298" s="631"/>
      <c r="G1298" s="631"/>
      <c r="H1298" s="833"/>
      <c r="I1298" s="834"/>
      <c r="J1298" s="834"/>
      <c r="K1298" s="835"/>
      <c r="L1298" s="835"/>
      <c r="M1298" s="835"/>
      <c r="N1298" s="835"/>
      <c r="O1298" s="835"/>
      <c r="P1298" s="835"/>
      <c r="Q1298" s="540"/>
      <c r="R1298" s="540"/>
      <c r="S1298" s="540"/>
      <c r="T1298" s="540"/>
      <c r="U1298" s="540"/>
      <c r="V1298" s="540"/>
      <c r="W1298" s="540"/>
      <c r="X1298" s="540"/>
      <c r="Y1298" s="540"/>
      <c r="Z1298" s="540"/>
    </row>
    <row r="1299" spans="1:26" ht="19">
      <c r="A1299" s="631"/>
      <c r="B1299" s="631"/>
      <c r="C1299" s="631"/>
      <c r="D1299" s="832"/>
      <c r="E1299" s="631"/>
      <c r="F1299" s="631"/>
      <c r="G1299" s="631"/>
      <c r="H1299" s="833"/>
      <c r="I1299" s="834"/>
      <c r="J1299" s="834"/>
      <c r="K1299" s="835"/>
      <c r="L1299" s="835"/>
      <c r="M1299" s="835"/>
      <c r="N1299" s="835"/>
      <c r="O1299" s="835"/>
      <c r="P1299" s="835"/>
      <c r="Q1299" s="540"/>
      <c r="R1299" s="540"/>
      <c r="S1299" s="540"/>
      <c r="T1299" s="540"/>
      <c r="U1299" s="540"/>
      <c r="V1299" s="540"/>
      <c r="W1299" s="540"/>
      <c r="X1299" s="540"/>
      <c r="Y1299" s="540"/>
      <c r="Z1299" s="540"/>
    </row>
    <row r="1300" spans="1:26" ht="19">
      <c r="A1300" s="631"/>
      <c r="B1300" s="631"/>
      <c r="C1300" s="631"/>
      <c r="D1300" s="832"/>
      <c r="E1300" s="631"/>
      <c r="F1300" s="631"/>
      <c r="G1300" s="631"/>
      <c r="H1300" s="833"/>
      <c r="I1300" s="834"/>
      <c r="J1300" s="834"/>
      <c r="K1300" s="835"/>
      <c r="L1300" s="835"/>
      <c r="M1300" s="835"/>
      <c r="N1300" s="835"/>
      <c r="O1300" s="835"/>
      <c r="P1300" s="835"/>
      <c r="Q1300" s="540"/>
      <c r="R1300" s="540"/>
      <c r="S1300" s="540"/>
      <c r="T1300" s="540"/>
      <c r="U1300" s="540"/>
      <c r="V1300" s="540"/>
      <c r="W1300" s="540"/>
      <c r="X1300" s="540"/>
      <c r="Y1300" s="540"/>
      <c r="Z1300" s="540"/>
    </row>
    <row r="1301" spans="1:26" ht="19">
      <c r="A1301" s="631"/>
      <c r="B1301" s="631"/>
      <c r="C1301" s="631"/>
      <c r="D1301" s="832"/>
      <c r="E1301" s="631"/>
      <c r="F1301" s="631"/>
      <c r="G1301" s="631"/>
      <c r="H1301" s="833"/>
      <c r="I1301" s="834"/>
      <c r="J1301" s="834"/>
      <c r="K1301" s="835"/>
      <c r="L1301" s="835"/>
      <c r="M1301" s="835"/>
      <c r="N1301" s="835"/>
      <c r="O1301" s="835"/>
      <c r="P1301" s="835"/>
      <c r="Q1301" s="540"/>
      <c r="R1301" s="540"/>
      <c r="S1301" s="540"/>
      <c r="T1301" s="540"/>
      <c r="U1301" s="540"/>
      <c r="V1301" s="540"/>
      <c r="W1301" s="540"/>
      <c r="X1301" s="540"/>
      <c r="Y1301" s="540"/>
      <c r="Z1301" s="540"/>
    </row>
    <row r="1302" spans="1:26" ht="19">
      <c r="A1302" s="631"/>
      <c r="B1302" s="631"/>
      <c r="C1302" s="631"/>
      <c r="D1302" s="832"/>
      <c r="E1302" s="631"/>
      <c r="F1302" s="631"/>
      <c r="G1302" s="631"/>
      <c r="H1302" s="833"/>
      <c r="I1302" s="834"/>
      <c r="J1302" s="834"/>
      <c r="K1302" s="835"/>
      <c r="L1302" s="835"/>
      <c r="M1302" s="835"/>
      <c r="N1302" s="835"/>
      <c r="O1302" s="835"/>
      <c r="P1302" s="835"/>
      <c r="Q1302" s="540"/>
      <c r="R1302" s="540"/>
      <c r="S1302" s="540"/>
      <c r="T1302" s="540"/>
      <c r="U1302" s="540"/>
      <c r="V1302" s="540"/>
      <c r="W1302" s="540"/>
      <c r="X1302" s="540"/>
      <c r="Y1302" s="540"/>
      <c r="Z1302" s="540"/>
    </row>
    <row r="1303" spans="1:26" ht="19">
      <c r="A1303" s="631"/>
      <c r="B1303" s="631"/>
      <c r="C1303" s="631"/>
      <c r="D1303" s="832"/>
      <c r="E1303" s="631"/>
      <c r="F1303" s="631"/>
      <c r="G1303" s="631"/>
      <c r="H1303" s="833"/>
      <c r="I1303" s="834"/>
      <c r="J1303" s="834"/>
      <c r="K1303" s="835"/>
      <c r="L1303" s="835"/>
      <c r="M1303" s="835"/>
      <c r="N1303" s="835"/>
      <c r="O1303" s="835"/>
      <c r="P1303" s="835"/>
      <c r="Q1303" s="540"/>
      <c r="R1303" s="540"/>
      <c r="S1303" s="540"/>
      <c r="T1303" s="540"/>
      <c r="U1303" s="540"/>
      <c r="V1303" s="540"/>
      <c r="W1303" s="540"/>
      <c r="X1303" s="540"/>
      <c r="Y1303" s="540"/>
      <c r="Z1303" s="540"/>
    </row>
    <row r="1304" spans="1:26" ht="19">
      <c r="A1304" s="631"/>
      <c r="B1304" s="631"/>
      <c r="C1304" s="631"/>
      <c r="D1304" s="832"/>
      <c r="E1304" s="631"/>
      <c r="F1304" s="631"/>
      <c r="G1304" s="631"/>
      <c r="H1304" s="833"/>
      <c r="I1304" s="834"/>
      <c r="J1304" s="834"/>
      <c r="K1304" s="835"/>
      <c r="L1304" s="835"/>
      <c r="M1304" s="835"/>
      <c r="N1304" s="835"/>
      <c r="O1304" s="835"/>
      <c r="P1304" s="835"/>
      <c r="Q1304" s="540"/>
      <c r="R1304" s="540"/>
      <c r="S1304" s="540"/>
      <c r="T1304" s="540"/>
      <c r="U1304" s="540"/>
      <c r="V1304" s="540"/>
      <c r="W1304" s="540"/>
      <c r="X1304" s="540"/>
      <c r="Y1304" s="540"/>
      <c r="Z1304" s="540"/>
    </row>
    <row r="1305" spans="1:26" ht="19">
      <c r="A1305" s="631"/>
      <c r="B1305" s="631"/>
      <c r="C1305" s="631"/>
      <c r="D1305" s="832"/>
      <c r="E1305" s="631"/>
      <c r="F1305" s="631"/>
      <c r="G1305" s="631"/>
      <c r="H1305" s="833"/>
      <c r="I1305" s="834"/>
      <c r="J1305" s="834"/>
      <c r="K1305" s="835"/>
      <c r="L1305" s="835"/>
      <c r="M1305" s="835"/>
      <c r="N1305" s="835"/>
      <c r="O1305" s="835"/>
      <c r="P1305" s="835"/>
      <c r="Q1305" s="540"/>
      <c r="R1305" s="540"/>
      <c r="S1305" s="540"/>
      <c r="T1305" s="540"/>
      <c r="U1305" s="540"/>
      <c r="V1305" s="540"/>
      <c r="W1305" s="540"/>
      <c r="X1305" s="540"/>
      <c r="Y1305" s="540"/>
      <c r="Z1305" s="540"/>
    </row>
    <row r="1306" spans="1:26" ht="19">
      <c r="A1306" s="631"/>
      <c r="B1306" s="631"/>
      <c r="C1306" s="631"/>
      <c r="D1306" s="832"/>
      <c r="E1306" s="631"/>
      <c r="F1306" s="631"/>
      <c r="G1306" s="631"/>
      <c r="H1306" s="833"/>
      <c r="I1306" s="834"/>
      <c r="J1306" s="834"/>
      <c r="K1306" s="835"/>
      <c r="L1306" s="835"/>
      <c r="M1306" s="835"/>
      <c r="N1306" s="835"/>
      <c r="O1306" s="835"/>
      <c r="P1306" s="835"/>
      <c r="Q1306" s="540"/>
      <c r="R1306" s="540"/>
      <c r="S1306" s="540"/>
      <c r="T1306" s="540"/>
      <c r="U1306" s="540"/>
      <c r="V1306" s="540"/>
      <c r="W1306" s="540"/>
      <c r="X1306" s="540"/>
      <c r="Y1306" s="540"/>
      <c r="Z1306" s="540"/>
    </row>
    <row r="1307" spans="1:26" ht="19">
      <c r="A1307" s="631"/>
      <c r="B1307" s="631"/>
      <c r="C1307" s="631"/>
      <c r="D1307" s="832"/>
      <c r="E1307" s="631"/>
      <c r="F1307" s="631"/>
      <c r="G1307" s="631"/>
      <c r="H1307" s="833"/>
      <c r="I1307" s="834"/>
      <c r="J1307" s="834"/>
      <c r="K1307" s="835"/>
      <c r="L1307" s="835"/>
      <c r="M1307" s="835"/>
      <c r="N1307" s="835"/>
      <c r="O1307" s="835"/>
      <c r="P1307" s="835"/>
      <c r="Q1307" s="540"/>
      <c r="R1307" s="540"/>
      <c r="S1307" s="540"/>
      <c r="T1307" s="540"/>
      <c r="U1307" s="540"/>
      <c r="V1307" s="540"/>
      <c r="W1307" s="540"/>
      <c r="X1307" s="540"/>
      <c r="Y1307" s="540"/>
      <c r="Z1307" s="540"/>
    </row>
    <row r="1308" spans="1:26" ht="19">
      <c r="A1308" s="631"/>
      <c r="B1308" s="631"/>
      <c r="C1308" s="631"/>
      <c r="D1308" s="832"/>
      <c r="E1308" s="631"/>
      <c r="F1308" s="631"/>
      <c r="G1308" s="631"/>
      <c r="H1308" s="833"/>
      <c r="I1308" s="834"/>
      <c r="J1308" s="834"/>
      <c r="K1308" s="835"/>
      <c r="L1308" s="835"/>
      <c r="M1308" s="835"/>
      <c r="N1308" s="835"/>
      <c r="O1308" s="835"/>
      <c r="P1308" s="835"/>
      <c r="Q1308" s="540"/>
      <c r="R1308" s="540"/>
      <c r="S1308" s="540"/>
      <c r="T1308" s="540"/>
      <c r="U1308" s="540"/>
      <c r="V1308" s="540"/>
      <c r="W1308" s="540"/>
      <c r="X1308" s="540"/>
      <c r="Y1308" s="540"/>
      <c r="Z1308" s="540"/>
    </row>
    <row r="1309" spans="1:26" ht="19">
      <c r="A1309" s="631"/>
      <c r="B1309" s="631"/>
      <c r="C1309" s="631"/>
      <c r="D1309" s="832"/>
      <c r="E1309" s="631"/>
      <c r="F1309" s="631"/>
      <c r="G1309" s="631"/>
      <c r="H1309" s="833"/>
      <c r="I1309" s="834"/>
      <c r="J1309" s="834"/>
      <c r="K1309" s="835"/>
      <c r="L1309" s="835"/>
      <c r="M1309" s="835"/>
      <c r="N1309" s="835"/>
      <c r="O1309" s="835"/>
      <c r="P1309" s="835"/>
      <c r="Q1309" s="540"/>
      <c r="R1309" s="540"/>
      <c r="S1309" s="540"/>
      <c r="T1309" s="540"/>
      <c r="U1309" s="540"/>
      <c r="V1309" s="540"/>
      <c r="W1309" s="540"/>
      <c r="X1309" s="540"/>
      <c r="Y1309" s="540"/>
      <c r="Z1309" s="540"/>
    </row>
    <row r="1310" spans="1:26" ht="19">
      <c r="A1310" s="631"/>
      <c r="B1310" s="631"/>
      <c r="C1310" s="631"/>
      <c r="D1310" s="832"/>
      <c r="E1310" s="631"/>
      <c r="F1310" s="631"/>
      <c r="G1310" s="631"/>
      <c r="H1310" s="833"/>
      <c r="I1310" s="834"/>
      <c r="J1310" s="834"/>
      <c r="K1310" s="835"/>
      <c r="L1310" s="835"/>
      <c r="M1310" s="835"/>
      <c r="N1310" s="835"/>
      <c r="O1310" s="835"/>
      <c r="P1310" s="835"/>
      <c r="Q1310" s="540"/>
      <c r="R1310" s="540"/>
      <c r="S1310" s="540"/>
      <c r="T1310" s="540"/>
      <c r="U1310" s="540"/>
      <c r="V1310" s="540"/>
      <c r="W1310" s="540"/>
      <c r="X1310" s="540"/>
      <c r="Y1310" s="540"/>
      <c r="Z1310" s="540"/>
    </row>
    <row r="1311" spans="1:26" ht="19">
      <c r="A1311" s="631"/>
      <c r="B1311" s="631"/>
      <c r="C1311" s="631"/>
      <c r="D1311" s="832"/>
      <c r="E1311" s="631"/>
      <c r="F1311" s="631"/>
      <c r="G1311" s="631"/>
      <c r="H1311" s="833"/>
      <c r="I1311" s="834"/>
      <c r="J1311" s="834"/>
      <c r="K1311" s="835"/>
      <c r="L1311" s="835"/>
      <c r="M1311" s="835"/>
      <c r="N1311" s="835"/>
      <c r="O1311" s="835"/>
      <c r="P1311" s="835"/>
      <c r="Q1311" s="540"/>
      <c r="R1311" s="540"/>
      <c r="S1311" s="540"/>
      <c r="T1311" s="540"/>
      <c r="U1311" s="540"/>
      <c r="V1311" s="540"/>
      <c r="W1311" s="540"/>
      <c r="X1311" s="540"/>
      <c r="Y1311" s="540"/>
      <c r="Z1311" s="540"/>
    </row>
    <row r="1312" spans="1:26" ht="19">
      <c r="A1312" s="631"/>
      <c r="B1312" s="631"/>
      <c r="C1312" s="631"/>
      <c r="D1312" s="832"/>
      <c r="E1312" s="631"/>
      <c r="F1312" s="631"/>
      <c r="G1312" s="631"/>
      <c r="H1312" s="833"/>
      <c r="I1312" s="834"/>
      <c r="J1312" s="834"/>
      <c r="K1312" s="835"/>
      <c r="L1312" s="835"/>
      <c r="M1312" s="835"/>
      <c r="N1312" s="835"/>
      <c r="O1312" s="835"/>
      <c r="P1312" s="835"/>
      <c r="Q1312" s="540"/>
      <c r="R1312" s="540"/>
      <c r="S1312" s="540"/>
      <c r="T1312" s="540"/>
      <c r="U1312" s="540"/>
      <c r="V1312" s="540"/>
      <c r="W1312" s="540"/>
      <c r="X1312" s="540"/>
      <c r="Y1312" s="540"/>
      <c r="Z1312" s="540"/>
    </row>
    <row r="1313" spans="1:26" ht="19">
      <c r="A1313" s="631"/>
      <c r="B1313" s="631"/>
      <c r="C1313" s="631"/>
      <c r="D1313" s="832"/>
      <c r="E1313" s="631"/>
      <c r="F1313" s="631"/>
      <c r="G1313" s="631"/>
      <c r="H1313" s="833"/>
      <c r="I1313" s="834"/>
      <c r="J1313" s="834"/>
      <c r="K1313" s="835"/>
      <c r="L1313" s="835"/>
      <c r="M1313" s="835"/>
      <c r="N1313" s="835"/>
      <c r="O1313" s="835"/>
      <c r="P1313" s="835"/>
      <c r="Q1313" s="540"/>
      <c r="R1313" s="540"/>
      <c r="S1313" s="540"/>
      <c r="T1313" s="540"/>
      <c r="U1313" s="540"/>
      <c r="V1313" s="540"/>
      <c r="W1313" s="540"/>
      <c r="X1313" s="540"/>
      <c r="Y1313" s="540"/>
      <c r="Z1313" s="540"/>
    </row>
    <row r="1314" spans="1:26" ht="19">
      <c r="A1314" s="631"/>
      <c r="B1314" s="631"/>
      <c r="C1314" s="631"/>
      <c r="D1314" s="832"/>
      <c r="E1314" s="631"/>
      <c r="F1314" s="631"/>
      <c r="G1314" s="631"/>
      <c r="H1314" s="833"/>
      <c r="I1314" s="834"/>
      <c r="J1314" s="834"/>
      <c r="K1314" s="835"/>
      <c r="L1314" s="835"/>
      <c r="M1314" s="835"/>
      <c r="N1314" s="835"/>
      <c r="O1314" s="835"/>
      <c r="P1314" s="835"/>
      <c r="Q1314" s="540"/>
      <c r="R1314" s="540"/>
      <c r="S1314" s="540"/>
      <c r="T1314" s="540"/>
      <c r="U1314" s="540"/>
      <c r="V1314" s="540"/>
      <c r="W1314" s="540"/>
      <c r="X1314" s="540"/>
      <c r="Y1314" s="540"/>
      <c r="Z1314" s="540"/>
    </row>
    <row r="1315" spans="1:26" ht="19">
      <c r="A1315" s="631"/>
      <c r="B1315" s="631"/>
      <c r="C1315" s="631"/>
      <c r="D1315" s="832"/>
      <c r="E1315" s="631"/>
      <c r="F1315" s="631"/>
      <c r="G1315" s="631"/>
      <c r="H1315" s="833"/>
      <c r="I1315" s="834"/>
      <c r="J1315" s="834"/>
      <c r="K1315" s="835"/>
      <c r="L1315" s="835"/>
      <c r="M1315" s="835"/>
      <c r="N1315" s="835"/>
      <c r="O1315" s="835"/>
      <c r="P1315" s="835"/>
      <c r="Q1315" s="540"/>
      <c r="R1315" s="540"/>
      <c r="S1315" s="540"/>
      <c r="T1315" s="540"/>
      <c r="U1315" s="540"/>
      <c r="V1315" s="540"/>
      <c r="W1315" s="540"/>
      <c r="X1315" s="540"/>
      <c r="Y1315" s="540"/>
      <c r="Z1315" s="540"/>
    </row>
    <row r="1316" spans="1:26" ht="19">
      <c r="A1316" s="631"/>
      <c r="B1316" s="631"/>
      <c r="C1316" s="631"/>
      <c r="D1316" s="832"/>
      <c r="E1316" s="631"/>
      <c r="F1316" s="631"/>
      <c r="G1316" s="631"/>
      <c r="H1316" s="833"/>
      <c r="I1316" s="834"/>
      <c r="J1316" s="834"/>
      <c r="K1316" s="835"/>
      <c r="L1316" s="835"/>
      <c r="M1316" s="835"/>
      <c r="N1316" s="835"/>
      <c r="O1316" s="835"/>
      <c r="P1316" s="835"/>
      <c r="Q1316" s="540"/>
      <c r="R1316" s="540"/>
      <c r="S1316" s="540"/>
      <c r="T1316" s="540"/>
      <c r="U1316" s="540"/>
      <c r="V1316" s="540"/>
      <c r="W1316" s="540"/>
      <c r="X1316" s="540"/>
      <c r="Y1316" s="540"/>
      <c r="Z1316" s="540"/>
    </row>
    <row r="1317" spans="1:26" ht="19">
      <c r="A1317" s="631"/>
      <c r="B1317" s="631"/>
      <c r="C1317" s="631"/>
      <c r="D1317" s="832"/>
      <c r="E1317" s="631"/>
      <c r="F1317" s="631"/>
      <c r="G1317" s="631"/>
      <c r="H1317" s="833"/>
      <c r="I1317" s="834"/>
      <c r="J1317" s="834"/>
      <c r="K1317" s="835"/>
      <c r="L1317" s="835"/>
      <c r="M1317" s="835"/>
      <c r="N1317" s="835"/>
      <c r="O1317" s="835"/>
      <c r="P1317" s="835"/>
      <c r="Q1317" s="540"/>
      <c r="R1317" s="540"/>
      <c r="S1317" s="540"/>
      <c r="T1317" s="540"/>
      <c r="U1317" s="540"/>
      <c r="V1317" s="540"/>
      <c r="W1317" s="540"/>
      <c r="X1317" s="540"/>
      <c r="Y1317" s="540"/>
      <c r="Z1317" s="540"/>
    </row>
    <row r="1318" spans="1:26" ht="19">
      <c r="A1318" s="631"/>
      <c r="B1318" s="631"/>
      <c r="C1318" s="631"/>
      <c r="D1318" s="832"/>
      <c r="E1318" s="631"/>
      <c r="F1318" s="631"/>
      <c r="G1318" s="631"/>
      <c r="H1318" s="833"/>
      <c r="I1318" s="834"/>
      <c r="J1318" s="834"/>
      <c r="K1318" s="835"/>
      <c r="L1318" s="835"/>
      <c r="M1318" s="835"/>
      <c r="N1318" s="835"/>
      <c r="O1318" s="835"/>
      <c r="P1318" s="835"/>
      <c r="Q1318" s="540"/>
      <c r="R1318" s="540"/>
      <c r="S1318" s="540"/>
      <c r="T1318" s="540"/>
      <c r="U1318" s="540"/>
      <c r="V1318" s="540"/>
      <c r="W1318" s="540"/>
      <c r="X1318" s="540"/>
      <c r="Y1318" s="540"/>
      <c r="Z1318" s="540"/>
    </row>
    <row r="1319" spans="1:26" ht="19">
      <c r="A1319" s="631"/>
      <c r="B1319" s="631"/>
      <c r="C1319" s="631"/>
      <c r="D1319" s="832"/>
      <c r="E1319" s="631"/>
      <c r="F1319" s="631"/>
      <c r="G1319" s="631"/>
      <c r="H1319" s="833"/>
      <c r="I1319" s="834"/>
      <c r="J1319" s="834"/>
      <c r="K1319" s="835"/>
      <c r="L1319" s="835"/>
      <c r="M1319" s="835"/>
      <c r="N1319" s="835"/>
      <c r="O1319" s="835"/>
      <c r="P1319" s="835"/>
      <c r="Q1319" s="540"/>
      <c r="R1319" s="540"/>
      <c r="S1319" s="540"/>
      <c r="T1319" s="540"/>
      <c r="U1319" s="540"/>
      <c r="V1319" s="540"/>
      <c r="W1319" s="540"/>
      <c r="X1319" s="540"/>
      <c r="Y1319" s="540"/>
      <c r="Z1319" s="540"/>
    </row>
    <row r="1320" spans="1:26" ht="19">
      <c r="A1320" s="631"/>
      <c r="B1320" s="631"/>
      <c r="C1320" s="631"/>
      <c r="D1320" s="832"/>
      <c r="E1320" s="631"/>
      <c r="F1320" s="631"/>
      <c r="G1320" s="631"/>
      <c r="H1320" s="833"/>
      <c r="I1320" s="834"/>
      <c r="J1320" s="834"/>
      <c r="K1320" s="835"/>
      <c r="L1320" s="835"/>
      <c r="M1320" s="835"/>
      <c r="N1320" s="835"/>
      <c r="O1320" s="835"/>
      <c r="P1320" s="835"/>
      <c r="Q1320" s="540"/>
      <c r="R1320" s="540"/>
      <c r="S1320" s="540"/>
      <c r="T1320" s="540"/>
      <c r="U1320" s="540"/>
      <c r="V1320" s="540"/>
      <c r="W1320" s="540"/>
      <c r="X1320" s="540"/>
      <c r="Y1320" s="540"/>
      <c r="Z1320" s="540"/>
    </row>
    <row r="1321" spans="1:26" ht="19">
      <c r="A1321" s="631"/>
      <c r="B1321" s="631"/>
      <c r="C1321" s="631"/>
      <c r="D1321" s="832"/>
      <c r="E1321" s="631"/>
      <c r="F1321" s="631"/>
      <c r="G1321" s="631"/>
      <c r="H1321" s="833"/>
      <c r="I1321" s="834"/>
      <c r="J1321" s="834"/>
      <c r="K1321" s="835"/>
      <c r="L1321" s="835"/>
      <c r="M1321" s="835"/>
      <c r="N1321" s="835"/>
      <c r="O1321" s="835"/>
      <c r="P1321" s="835"/>
      <c r="Q1321" s="540"/>
      <c r="R1321" s="540"/>
      <c r="S1321" s="540"/>
      <c r="T1321" s="540"/>
      <c r="U1321" s="540"/>
      <c r="V1321" s="540"/>
      <c r="W1321" s="540"/>
      <c r="X1321" s="540"/>
      <c r="Y1321" s="540"/>
      <c r="Z1321" s="540"/>
    </row>
    <row r="1322" spans="1:26" ht="19">
      <c r="A1322" s="631"/>
      <c r="B1322" s="631"/>
      <c r="C1322" s="631"/>
      <c r="D1322" s="832"/>
      <c r="E1322" s="631"/>
      <c r="F1322" s="631"/>
      <c r="G1322" s="631"/>
      <c r="H1322" s="833"/>
      <c r="I1322" s="834"/>
      <c r="J1322" s="834"/>
      <c r="K1322" s="835"/>
      <c r="L1322" s="835"/>
      <c r="M1322" s="835"/>
      <c r="N1322" s="835"/>
      <c r="O1322" s="835"/>
      <c r="P1322" s="835"/>
      <c r="Q1322" s="540"/>
      <c r="R1322" s="540"/>
      <c r="S1322" s="540"/>
      <c r="T1322" s="540"/>
      <c r="U1322" s="540"/>
      <c r="V1322" s="540"/>
      <c r="W1322" s="540"/>
      <c r="X1322" s="540"/>
      <c r="Y1322" s="540"/>
      <c r="Z1322" s="540"/>
    </row>
    <row r="1323" spans="1:26" ht="19">
      <c r="A1323" s="631"/>
      <c r="B1323" s="631"/>
      <c r="C1323" s="631"/>
      <c r="D1323" s="832"/>
      <c r="E1323" s="631"/>
      <c r="F1323" s="631"/>
      <c r="G1323" s="631"/>
      <c r="H1323" s="833"/>
      <c r="I1323" s="834"/>
      <c r="J1323" s="834"/>
      <c r="K1323" s="835"/>
      <c r="L1323" s="835"/>
      <c r="M1323" s="835"/>
      <c r="N1323" s="835"/>
      <c r="O1323" s="835"/>
      <c r="P1323" s="835"/>
      <c r="Q1323" s="540"/>
      <c r="R1323" s="540"/>
      <c r="S1323" s="540"/>
      <c r="T1323" s="540"/>
      <c r="U1323" s="540"/>
      <c r="V1323" s="540"/>
      <c r="W1323" s="540"/>
      <c r="X1323" s="540"/>
      <c r="Y1323" s="540"/>
      <c r="Z1323" s="540"/>
    </row>
    <row r="1324" spans="1:26" ht="19">
      <c r="A1324" s="631"/>
      <c r="B1324" s="631"/>
      <c r="C1324" s="631"/>
      <c r="D1324" s="832"/>
      <c r="E1324" s="631"/>
      <c r="F1324" s="631"/>
      <c r="G1324" s="631"/>
      <c r="H1324" s="833"/>
      <c r="I1324" s="834"/>
      <c r="J1324" s="834"/>
      <c r="K1324" s="835"/>
      <c r="L1324" s="835"/>
      <c r="M1324" s="835"/>
      <c r="N1324" s="835"/>
      <c r="O1324" s="835"/>
      <c r="P1324" s="835"/>
      <c r="Q1324" s="540"/>
      <c r="R1324" s="540"/>
      <c r="S1324" s="540"/>
      <c r="T1324" s="540"/>
      <c r="U1324" s="540"/>
      <c r="V1324" s="540"/>
      <c r="W1324" s="540"/>
      <c r="X1324" s="540"/>
      <c r="Y1324" s="540"/>
      <c r="Z1324" s="540"/>
    </row>
    <row r="1325" spans="1:26" ht="19">
      <c r="A1325" s="631"/>
      <c r="B1325" s="631"/>
      <c r="C1325" s="631"/>
      <c r="D1325" s="832"/>
      <c r="E1325" s="631"/>
      <c r="F1325" s="631"/>
      <c r="G1325" s="631"/>
      <c r="H1325" s="833"/>
      <c r="I1325" s="834"/>
      <c r="J1325" s="834"/>
      <c r="K1325" s="835"/>
      <c r="L1325" s="835"/>
      <c r="M1325" s="835"/>
      <c r="N1325" s="835"/>
      <c r="O1325" s="835"/>
      <c r="P1325" s="835"/>
      <c r="Q1325" s="540"/>
      <c r="R1325" s="540"/>
      <c r="S1325" s="540"/>
      <c r="T1325" s="540"/>
      <c r="U1325" s="540"/>
      <c r="V1325" s="540"/>
      <c r="W1325" s="540"/>
      <c r="X1325" s="540"/>
      <c r="Y1325" s="540"/>
      <c r="Z1325" s="540"/>
    </row>
    <row r="1326" spans="1:26" ht="19">
      <c r="A1326" s="631"/>
      <c r="B1326" s="631"/>
      <c r="C1326" s="631"/>
      <c r="D1326" s="832"/>
      <c r="E1326" s="631"/>
      <c r="F1326" s="631"/>
      <c r="G1326" s="631"/>
      <c r="H1326" s="833"/>
      <c r="I1326" s="834"/>
      <c r="J1326" s="834"/>
      <c r="K1326" s="835"/>
      <c r="L1326" s="835"/>
      <c r="M1326" s="835"/>
      <c r="N1326" s="835"/>
      <c r="O1326" s="835"/>
      <c r="P1326" s="835"/>
      <c r="Q1326" s="540"/>
      <c r="R1326" s="540"/>
      <c r="S1326" s="540"/>
      <c r="T1326" s="540"/>
      <c r="U1326" s="540"/>
      <c r="V1326" s="540"/>
      <c r="W1326" s="540"/>
      <c r="X1326" s="540"/>
      <c r="Y1326" s="540"/>
      <c r="Z1326" s="540"/>
    </row>
    <row r="1327" spans="1:26" ht="19">
      <c r="A1327" s="631"/>
      <c r="B1327" s="631"/>
      <c r="C1327" s="631"/>
      <c r="D1327" s="832"/>
      <c r="E1327" s="631"/>
      <c r="F1327" s="631"/>
      <c r="G1327" s="631"/>
      <c r="H1327" s="833"/>
      <c r="I1327" s="834"/>
      <c r="J1327" s="834"/>
      <c r="K1327" s="835"/>
      <c r="L1327" s="835"/>
      <c r="M1327" s="835"/>
      <c r="N1327" s="835"/>
      <c r="O1327" s="835"/>
      <c r="P1327" s="835"/>
      <c r="Q1327" s="540"/>
      <c r="R1327" s="540"/>
      <c r="S1327" s="540"/>
      <c r="T1327" s="540"/>
      <c r="U1327" s="540"/>
      <c r="V1327" s="540"/>
      <c r="W1327" s="540"/>
      <c r="X1327" s="540"/>
      <c r="Y1327" s="540"/>
      <c r="Z1327" s="540"/>
    </row>
    <row r="1328" spans="1:26" ht="19">
      <c r="A1328" s="631"/>
      <c r="B1328" s="631"/>
      <c r="C1328" s="631"/>
      <c r="D1328" s="832"/>
      <c r="E1328" s="631"/>
      <c r="F1328" s="631"/>
      <c r="G1328" s="631"/>
      <c r="H1328" s="833"/>
      <c r="I1328" s="834"/>
      <c r="J1328" s="834"/>
      <c r="K1328" s="835"/>
      <c r="L1328" s="835"/>
      <c r="M1328" s="835"/>
      <c r="N1328" s="835"/>
      <c r="O1328" s="835"/>
      <c r="P1328" s="835"/>
      <c r="Q1328" s="540"/>
      <c r="R1328" s="540"/>
      <c r="S1328" s="540"/>
      <c r="T1328" s="540"/>
      <c r="U1328" s="540"/>
      <c r="V1328" s="540"/>
      <c r="W1328" s="540"/>
      <c r="X1328" s="540"/>
      <c r="Y1328" s="540"/>
      <c r="Z1328" s="540"/>
    </row>
    <row r="1329" spans="1:26" ht="19">
      <c r="A1329" s="631"/>
      <c r="B1329" s="631"/>
      <c r="C1329" s="631"/>
      <c r="D1329" s="832"/>
      <c r="E1329" s="631"/>
      <c r="F1329" s="631"/>
      <c r="G1329" s="631"/>
      <c r="H1329" s="833"/>
      <c r="I1329" s="834"/>
      <c r="J1329" s="834"/>
      <c r="K1329" s="835"/>
      <c r="L1329" s="835"/>
      <c r="M1329" s="835"/>
      <c r="N1329" s="835"/>
      <c r="O1329" s="835"/>
      <c r="P1329" s="835"/>
      <c r="Q1329" s="540"/>
      <c r="R1329" s="540"/>
      <c r="S1329" s="540"/>
      <c r="T1329" s="540"/>
      <c r="U1329" s="540"/>
      <c r="V1329" s="540"/>
      <c r="W1329" s="540"/>
      <c r="X1329" s="540"/>
      <c r="Y1329" s="540"/>
      <c r="Z1329" s="540"/>
    </row>
    <row r="1330" spans="1:26" ht="19">
      <c r="A1330" s="631"/>
      <c r="B1330" s="631"/>
      <c r="C1330" s="631"/>
      <c r="D1330" s="832"/>
      <c r="E1330" s="631"/>
      <c r="F1330" s="631"/>
      <c r="G1330" s="631"/>
      <c r="H1330" s="833"/>
      <c r="I1330" s="834"/>
      <c r="J1330" s="834"/>
      <c r="K1330" s="835"/>
      <c r="L1330" s="835"/>
      <c r="M1330" s="835"/>
      <c r="N1330" s="835"/>
      <c r="O1330" s="835"/>
      <c r="P1330" s="835"/>
      <c r="Q1330" s="540"/>
      <c r="R1330" s="540"/>
      <c r="S1330" s="540"/>
      <c r="T1330" s="540"/>
      <c r="U1330" s="540"/>
      <c r="V1330" s="540"/>
      <c r="W1330" s="540"/>
      <c r="X1330" s="540"/>
      <c r="Y1330" s="540"/>
      <c r="Z1330" s="540"/>
    </row>
    <row r="1331" spans="1:26" ht="19">
      <c r="A1331" s="631"/>
      <c r="B1331" s="631"/>
      <c r="C1331" s="631"/>
      <c r="D1331" s="832"/>
      <c r="E1331" s="631"/>
      <c r="F1331" s="631"/>
      <c r="G1331" s="631"/>
      <c r="H1331" s="833"/>
      <c r="I1331" s="834"/>
      <c r="J1331" s="834"/>
      <c r="K1331" s="835"/>
      <c r="L1331" s="835"/>
      <c r="M1331" s="835"/>
      <c r="N1331" s="835"/>
      <c r="O1331" s="835"/>
      <c r="P1331" s="835"/>
      <c r="Q1331" s="540"/>
      <c r="R1331" s="540"/>
      <c r="S1331" s="540"/>
      <c r="T1331" s="540"/>
      <c r="U1331" s="540"/>
      <c r="V1331" s="540"/>
      <c r="W1331" s="540"/>
      <c r="X1331" s="540"/>
      <c r="Y1331" s="540"/>
      <c r="Z1331" s="540"/>
    </row>
    <row r="1332" spans="1:26" ht="19">
      <c r="A1332" s="631"/>
      <c r="B1332" s="631"/>
      <c r="C1332" s="631"/>
      <c r="D1332" s="832"/>
      <c r="E1332" s="631"/>
      <c r="F1332" s="631"/>
      <c r="G1332" s="631"/>
      <c r="H1332" s="833"/>
      <c r="I1332" s="834"/>
      <c r="J1332" s="834"/>
      <c r="K1332" s="835"/>
      <c r="L1332" s="835"/>
      <c r="M1332" s="835"/>
      <c r="N1332" s="835"/>
      <c r="O1332" s="835"/>
      <c r="P1332" s="835"/>
      <c r="Q1332" s="540"/>
      <c r="R1332" s="540"/>
      <c r="S1332" s="540"/>
      <c r="T1332" s="540"/>
      <c r="U1332" s="540"/>
      <c r="V1332" s="540"/>
      <c r="W1332" s="540"/>
      <c r="X1332" s="540"/>
      <c r="Y1332" s="540"/>
      <c r="Z1332" s="540"/>
    </row>
    <row r="1333" spans="1:26" ht="19">
      <c r="A1333" s="631"/>
      <c r="B1333" s="631"/>
      <c r="C1333" s="631"/>
      <c r="D1333" s="832"/>
      <c r="E1333" s="631"/>
      <c r="F1333" s="631"/>
      <c r="G1333" s="631"/>
      <c r="H1333" s="833"/>
      <c r="I1333" s="834"/>
      <c r="J1333" s="834"/>
      <c r="K1333" s="835"/>
      <c r="L1333" s="835"/>
      <c r="M1333" s="835"/>
      <c r="N1333" s="835"/>
      <c r="O1333" s="835"/>
      <c r="P1333" s="835"/>
      <c r="Q1333" s="540"/>
      <c r="R1333" s="540"/>
      <c r="S1333" s="540"/>
      <c r="T1333" s="540"/>
      <c r="U1333" s="540"/>
      <c r="V1333" s="540"/>
      <c r="W1333" s="540"/>
      <c r="X1333" s="540"/>
      <c r="Y1333" s="540"/>
      <c r="Z1333" s="540"/>
    </row>
    <row r="1334" spans="1:26" ht="19">
      <c r="A1334" s="631"/>
      <c r="B1334" s="631"/>
      <c r="C1334" s="631"/>
      <c r="D1334" s="832"/>
      <c r="E1334" s="631"/>
      <c r="F1334" s="631"/>
      <c r="G1334" s="631"/>
      <c r="H1334" s="833"/>
      <c r="I1334" s="834"/>
      <c r="J1334" s="834"/>
      <c r="K1334" s="835"/>
      <c r="L1334" s="835"/>
      <c r="M1334" s="835"/>
      <c r="N1334" s="835"/>
      <c r="O1334" s="835"/>
      <c r="P1334" s="835"/>
      <c r="Q1334" s="540"/>
      <c r="R1334" s="540"/>
      <c r="S1334" s="540"/>
      <c r="T1334" s="540"/>
      <c r="U1334" s="540"/>
      <c r="V1334" s="540"/>
      <c r="W1334" s="540"/>
      <c r="X1334" s="540"/>
      <c r="Y1334" s="540"/>
      <c r="Z1334" s="540"/>
    </row>
    <row r="1335" spans="1:26" ht="19">
      <c r="A1335" s="631"/>
      <c r="B1335" s="631"/>
      <c r="C1335" s="631"/>
      <c r="D1335" s="832"/>
      <c r="E1335" s="631"/>
      <c r="F1335" s="631"/>
      <c r="G1335" s="631"/>
      <c r="H1335" s="833"/>
      <c r="I1335" s="834"/>
      <c r="J1335" s="834"/>
      <c r="K1335" s="835"/>
      <c r="L1335" s="835"/>
      <c r="M1335" s="835"/>
      <c r="N1335" s="835"/>
      <c r="O1335" s="835"/>
      <c r="P1335" s="835"/>
      <c r="Q1335" s="540"/>
      <c r="R1335" s="540"/>
      <c r="S1335" s="540"/>
      <c r="T1335" s="540"/>
      <c r="U1335" s="540"/>
      <c r="V1335" s="540"/>
      <c r="W1335" s="540"/>
      <c r="X1335" s="540"/>
      <c r="Y1335" s="540"/>
      <c r="Z1335" s="540"/>
    </row>
    <row r="1336" spans="1:26" ht="19">
      <c r="A1336" s="631"/>
      <c r="B1336" s="631"/>
      <c r="C1336" s="631"/>
      <c r="D1336" s="832"/>
      <c r="E1336" s="631"/>
      <c r="F1336" s="631"/>
      <c r="G1336" s="631"/>
      <c r="H1336" s="833"/>
      <c r="I1336" s="834"/>
      <c r="J1336" s="834"/>
      <c r="K1336" s="835"/>
      <c r="L1336" s="835"/>
      <c r="M1336" s="835"/>
      <c r="N1336" s="835"/>
      <c r="O1336" s="835"/>
      <c r="P1336" s="835"/>
      <c r="Q1336" s="540"/>
      <c r="R1336" s="540"/>
      <c r="S1336" s="540"/>
      <c r="T1336" s="540"/>
      <c r="U1336" s="540"/>
      <c r="V1336" s="540"/>
      <c r="W1336" s="540"/>
      <c r="X1336" s="540"/>
      <c r="Y1336" s="540"/>
      <c r="Z1336" s="540"/>
    </row>
    <row r="1337" spans="1:26" ht="19">
      <c r="A1337" s="631"/>
      <c r="B1337" s="631"/>
      <c r="C1337" s="631"/>
      <c r="D1337" s="832"/>
      <c r="E1337" s="631"/>
      <c r="F1337" s="631"/>
      <c r="G1337" s="631"/>
      <c r="H1337" s="833"/>
      <c r="I1337" s="834"/>
      <c r="J1337" s="834"/>
      <c r="K1337" s="835"/>
      <c r="L1337" s="835"/>
      <c r="M1337" s="835"/>
      <c r="N1337" s="835"/>
      <c r="O1337" s="835"/>
      <c r="P1337" s="835"/>
      <c r="Q1337" s="540"/>
      <c r="R1337" s="540"/>
      <c r="S1337" s="540"/>
      <c r="T1337" s="540"/>
      <c r="U1337" s="540"/>
      <c r="V1337" s="540"/>
      <c r="W1337" s="540"/>
      <c r="X1337" s="540"/>
      <c r="Y1337" s="540"/>
      <c r="Z1337" s="540"/>
    </row>
    <row r="1338" spans="1:26" ht="19">
      <c r="A1338" s="631"/>
      <c r="B1338" s="631"/>
      <c r="C1338" s="631"/>
      <c r="D1338" s="832"/>
      <c r="E1338" s="631"/>
      <c r="F1338" s="631"/>
      <c r="G1338" s="631"/>
      <c r="H1338" s="833"/>
      <c r="I1338" s="834"/>
      <c r="J1338" s="834"/>
      <c r="K1338" s="835"/>
      <c r="L1338" s="835"/>
      <c r="M1338" s="835"/>
      <c r="N1338" s="835"/>
      <c r="O1338" s="835"/>
      <c r="P1338" s="835"/>
      <c r="Q1338" s="540"/>
      <c r="R1338" s="540"/>
      <c r="S1338" s="540"/>
      <c r="T1338" s="540"/>
      <c r="U1338" s="540"/>
      <c r="V1338" s="540"/>
      <c r="W1338" s="540"/>
      <c r="X1338" s="540"/>
      <c r="Y1338" s="540"/>
      <c r="Z1338" s="540"/>
    </row>
    <row r="1339" spans="1:26" ht="19">
      <c r="A1339" s="631"/>
      <c r="B1339" s="631"/>
      <c r="C1339" s="631"/>
      <c r="D1339" s="832"/>
      <c r="E1339" s="631"/>
      <c r="F1339" s="631"/>
      <c r="G1339" s="631"/>
      <c r="H1339" s="833"/>
      <c r="I1339" s="834"/>
      <c r="J1339" s="834"/>
      <c r="K1339" s="835"/>
      <c r="L1339" s="835"/>
      <c r="M1339" s="835"/>
      <c r="N1339" s="835"/>
      <c r="O1339" s="835"/>
      <c r="P1339" s="835"/>
      <c r="Q1339" s="540"/>
      <c r="R1339" s="540"/>
      <c r="S1339" s="540"/>
      <c r="T1339" s="540"/>
      <c r="U1339" s="540"/>
      <c r="V1339" s="540"/>
      <c r="W1339" s="540"/>
      <c r="X1339" s="540"/>
      <c r="Y1339" s="540"/>
      <c r="Z1339" s="540"/>
    </row>
    <row r="1340" spans="1:26" ht="19">
      <c r="A1340" s="631"/>
      <c r="B1340" s="631"/>
      <c r="C1340" s="631"/>
      <c r="D1340" s="832"/>
      <c r="E1340" s="631"/>
      <c r="F1340" s="631"/>
      <c r="G1340" s="631"/>
      <c r="H1340" s="833"/>
      <c r="I1340" s="834"/>
      <c r="J1340" s="834"/>
      <c r="K1340" s="835"/>
      <c r="L1340" s="835"/>
      <c r="M1340" s="835"/>
      <c r="N1340" s="835"/>
      <c r="O1340" s="835"/>
      <c r="P1340" s="835"/>
      <c r="Q1340" s="540"/>
      <c r="R1340" s="540"/>
      <c r="S1340" s="540"/>
      <c r="T1340" s="540"/>
      <c r="U1340" s="540"/>
      <c r="V1340" s="540"/>
      <c r="W1340" s="540"/>
      <c r="X1340" s="540"/>
      <c r="Y1340" s="540"/>
      <c r="Z1340" s="540"/>
    </row>
    <row r="1341" spans="1:26" ht="19">
      <c r="A1341" s="631"/>
      <c r="B1341" s="631"/>
      <c r="C1341" s="631"/>
      <c r="D1341" s="832"/>
      <c r="E1341" s="631"/>
      <c r="F1341" s="631"/>
      <c r="G1341" s="631"/>
      <c r="H1341" s="833"/>
      <c r="I1341" s="834"/>
      <c r="J1341" s="834"/>
      <c r="K1341" s="835"/>
      <c r="L1341" s="835"/>
      <c r="M1341" s="835"/>
      <c r="N1341" s="835"/>
      <c r="O1341" s="835"/>
      <c r="P1341" s="835"/>
      <c r="Q1341" s="540"/>
      <c r="R1341" s="540"/>
      <c r="S1341" s="540"/>
      <c r="T1341" s="540"/>
      <c r="U1341" s="540"/>
      <c r="V1341" s="540"/>
      <c r="W1341" s="540"/>
      <c r="X1341" s="540"/>
      <c r="Y1341" s="540"/>
      <c r="Z1341" s="540"/>
    </row>
    <row r="1342" spans="1:26" ht="19">
      <c r="A1342" s="631"/>
      <c r="B1342" s="631"/>
      <c r="C1342" s="631"/>
      <c r="D1342" s="832"/>
      <c r="E1342" s="631"/>
      <c r="F1342" s="631"/>
      <c r="G1342" s="631"/>
      <c r="H1342" s="833"/>
      <c r="I1342" s="834"/>
      <c r="J1342" s="834"/>
      <c r="K1342" s="835"/>
      <c r="L1342" s="835"/>
      <c r="M1342" s="835"/>
      <c r="N1342" s="835"/>
      <c r="O1342" s="835"/>
      <c r="P1342" s="835"/>
      <c r="Q1342" s="540"/>
      <c r="R1342" s="540"/>
      <c r="S1342" s="540"/>
      <c r="T1342" s="540"/>
      <c r="U1342" s="540"/>
      <c r="V1342" s="540"/>
      <c r="W1342" s="540"/>
      <c r="X1342" s="540"/>
      <c r="Y1342" s="540"/>
      <c r="Z1342" s="540"/>
    </row>
    <row r="1343" spans="1:26" ht="19">
      <c r="A1343" s="631"/>
      <c r="B1343" s="631"/>
      <c r="C1343" s="631"/>
      <c r="D1343" s="832"/>
      <c r="E1343" s="631"/>
      <c r="F1343" s="631"/>
      <c r="G1343" s="631"/>
      <c r="H1343" s="833"/>
      <c r="I1343" s="834"/>
      <c r="J1343" s="834"/>
      <c r="K1343" s="835"/>
      <c r="L1343" s="835"/>
      <c r="M1343" s="835"/>
      <c r="N1343" s="835"/>
      <c r="O1343" s="835"/>
      <c r="P1343" s="835"/>
      <c r="Q1343" s="540"/>
      <c r="R1343" s="540"/>
      <c r="S1343" s="540"/>
      <c r="T1343" s="540"/>
      <c r="U1343" s="540"/>
      <c r="V1343" s="540"/>
      <c r="W1343" s="540"/>
      <c r="X1343" s="540"/>
      <c r="Y1343" s="540"/>
      <c r="Z1343" s="540"/>
    </row>
    <row r="1344" spans="1:26" ht="19">
      <c r="A1344" s="631"/>
      <c r="B1344" s="631"/>
      <c r="C1344" s="631"/>
      <c r="D1344" s="832"/>
      <c r="E1344" s="631"/>
      <c r="F1344" s="631"/>
      <c r="G1344" s="631"/>
      <c r="H1344" s="833"/>
      <c r="I1344" s="834"/>
      <c r="J1344" s="834"/>
      <c r="K1344" s="835"/>
      <c r="L1344" s="835"/>
      <c r="M1344" s="835"/>
      <c r="N1344" s="835"/>
      <c r="O1344" s="835"/>
      <c r="P1344" s="835"/>
      <c r="Q1344" s="540"/>
      <c r="R1344" s="540"/>
      <c r="S1344" s="540"/>
      <c r="T1344" s="540"/>
      <c r="U1344" s="540"/>
      <c r="V1344" s="540"/>
      <c r="W1344" s="540"/>
      <c r="X1344" s="540"/>
      <c r="Y1344" s="540"/>
      <c r="Z1344" s="540"/>
    </row>
    <row r="1345" spans="1:26" ht="19">
      <c r="A1345" s="631"/>
      <c r="B1345" s="631"/>
      <c r="C1345" s="631"/>
      <c r="D1345" s="832"/>
      <c r="E1345" s="631"/>
      <c r="F1345" s="631"/>
      <c r="G1345" s="631"/>
      <c r="H1345" s="833"/>
      <c r="I1345" s="834"/>
      <c r="J1345" s="834"/>
      <c r="K1345" s="835"/>
      <c r="L1345" s="835"/>
      <c r="M1345" s="835"/>
      <c r="N1345" s="835"/>
      <c r="O1345" s="835"/>
      <c r="P1345" s="835"/>
      <c r="Q1345" s="540"/>
      <c r="R1345" s="540"/>
      <c r="S1345" s="540"/>
      <c r="T1345" s="540"/>
      <c r="U1345" s="540"/>
      <c r="V1345" s="540"/>
      <c r="W1345" s="540"/>
      <c r="X1345" s="540"/>
      <c r="Y1345" s="540"/>
      <c r="Z1345" s="540"/>
    </row>
    <row r="1346" spans="1:26" ht="19">
      <c r="A1346" s="631"/>
      <c r="B1346" s="631"/>
      <c r="C1346" s="631"/>
      <c r="D1346" s="832"/>
      <c r="E1346" s="631"/>
      <c r="F1346" s="631"/>
      <c r="G1346" s="631"/>
      <c r="H1346" s="833"/>
      <c r="I1346" s="834"/>
      <c r="J1346" s="834"/>
      <c r="K1346" s="835"/>
      <c r="L1346" s="835"/>
      <c r="M1346" s="835"/>
      <c r="N1346" s="835"/>
      <c r="O1346" s="835"/>
      <c r="P1346" s="835"/>
      <c r="Q1346" s="540"/>
      <c r="R1346" s="540"/>
      <c r="S1346" s="540"/>
      <c r="T1346" s="540"/>
      <c r="U1346" s="540"/>
      <c r="V1346" s="540"/>
      <c r="W1346" s="540"/>
      <c r="X1346" s="540"/>
      <c r="Y1346" s="540"/>
      <c r="Z1346" s="540"/>
    </row>
    <row r="1347" spans="1:26" ht="19">
      <c r="A1347" s="631"/>
      <c r="B1347" s="631"/>
      <c r="C1347" s="631"/>
      <c r="D1347" s="832"/>
      <c r="E1347" s="631"/>
      <c r="F1347" s="631"/>
      <c r="G1347" s="631"/>
      <c r="H1347" s="833"/>
      <c r="I1347" s="834"/>
      <c r="J1347" s="834"/>
      <c r="K1347" s="835"/>
      <c r="L1347" s="835"/>
      <c r="M1347" s="835"/>
      <c r="N1347" s="835"/>
      <c r="O1347" s="835"/>
      <c r="P1347" s="835"/>
      <c r="Q1347" s="540"/>
      <c r="R1347" s="540"/>
      <c r="S1347" s="540"/>
      <c r="T1347" s="540"/>
      <c r="U1347" s="540"/>
      <c r="V1347" s="540"/>
      <c r="W1347" s="540"/>
      <c r="X1347" s="540"/>
      <c r="Y1347" s="540"/>
      <c r="Z1347" s="540"/>
    </row>
    <row r="1348" spans="1:26" ht="19">
      <c r="A1348" s="631"/>
      <c r="B1348" s="631"/>
      <c r="C1348" s="631"/>
      <c r="D1348" s="832"/>
      <c r="E1348" s="631"/>
      <c r="F1348" s="631"/>
      <c r="G1348" s="631"/>
      <c r="H1348" s="833"/>
      <c r="I1348" s="834"/>
      <c r="J1348" s="834"/>
      <c r="K1348" s="835"/>
      <c r="L1348" s="835"/>
      <c r="M1348" s="835"/>
      <c r="N1348" s="835"/>
      <c r="O1348" s="835"/>
      <c r="P1348" s="835"/>
      <c r="Q1348" s="540"/>
      <c r="R1348" s="540"/>
      <c r="S1348" s="540"/>
      <c r="T1348" s="540"/>
      <c r="U1348" s="540"/>
      <c r="V1348" s="540"/>
      <c r="W1348" s="540"/>
      <c r="X1348" s="540"/>
      <c r="Y1348" s="540"/>
      <c r="Z1348" s="540"/>
    </row>
    <row r="1349" spans="1:26" ht="19">
      <c r="A1349" s="631"/>
      <c r="B1349" s="631"/>
      <c r="C1349" s="631"/>
      <c r="D1349" s="832"/>
      <c r="E1349" s="631"/>
      <c r="F1349" s="631"/>
      <c r="G1349" s="631"/>
      <c r="H1349" s="833"/>
      <c r="I1349" s="834"/>
      <c r="J1349" s="834"/>
      <c r="K1349" s="835"/>
      <c r="L1349" s="835"/>
      <c r="M1349" s="835"/>
      <c r="N1349" s="835"/>
      <c r="O1349" s="835"/>
      <c r="P1349" s="835"/>
      <c r="Q1349" s="540"/>
      <c r="R1349" s="540"/>
      <c r="S1349" s="540"/>
      <c r="T1349" s="540"/>
      <c r="U1349" s="540"/>
      <c r="V1349" s="540"/>
      <c r="W1349" s="540"/>
      <c r="X1349" s="540"/>
      <c r="Y1349" s="540"/>
      <c r="Z1349" s="540"/>
    </row>
    <row r="1350" spans="1:26" ht="19">
      <c r="A1350" s="631"/>
      <c r="B1350" s="631"/>
      <c r="C1350" s="631"/>
      <c r="D1350" s="832"/>
      <c r="E1350" s="631"/>
      <c r="F1350" s="631"/>
      <c r="G1350" s="631"/>
      <c r="H1350" s="833"/>
      <c r="I1350" s="834"/>
      <c r="J1350" s="834"/>
      <c r="K1350" s="835"/>
      <c r="L1350" s="835"/>
      <c r="M1350" s="835"/>
      <c r="N1350" s="835"/>
      <c r="O1350" s="835"/>
      <c r="P1350" s="835"/>
      <c r="Q1350" s="540"/>
      <c r="R1350" s="540"/>
      <c r="S1350" s="540"/>
      <c r="T1350" s="540"/>
      <c r="U1350" s="540"/>
      <c r="V1350" s="540"/>
      <c r="W1350" s="540"/>
      <c r="X1350" s="540"/>
      <c r="Y1350" s="540"/>
      <c r="Z1350" s="540"/>
    </row>
    <row r="1351" spans="1:26" ht="19">
      <c r="A1351" s="631"/>
      <c r="B1351" s="631"/>
      <c r="C1351" s="631"/>
      <c r="D1351" s="832"/>
      <c r="E1351" s="631"/>
      <c r="F1351" s="631"/>
      <c r="G1351" s="631"/>
      <c r="H1351" s="833"/>
      <c r="I1351" s="834"/>
      <c r="J1351" s="834"/>
      <c r="K1351" s="835"/>
      <c r="L1351" s="835"/>
      <c r="M1351" s="835"/>
      <c r="N1351" s="835"/>
      <c r="O1351" s="835"/>
      <c r="P1351" s="835"/>
      <c r="Q1351" s="540"/>
      <c r="R1351" s="540"/>
      <c r="S1351" s="540"/>
      <c r="T1351" s="540"/>
      <c r="U1351" s="540"/>
      <c r="V1351" s="540"/>
      <c r="W1351" s="540"/>
      <c r="X1351" s="540"/>
      <c r="Y1351" s="540"/>
      <c r="Z1351" s="540"/>
    </row>
    <row r="1352" spans="1:26" ht="19">
      <c r="A1352" s="631"/>
      <c r="B1352" s="631"/>
      <c r="C1352" s="631"/>
      <c r="D1352" s="832"/>
      <c r="E1352" s="631"/>
      <c r="F1352" s="631"/>
      <c r="G1352" s="631"/>
      <c r="H1352" s="833"/>
      <c r="I1352" s="834"/>
      <c r="J1352" s="834"/>
      <c r="K1352" s="835"/>
      <c r="L1352" s="835"/>
      <c r="M1352" s="835"/>
      <c r="N1352" s="835"/>
      <c r="O1352" s="835"/>
      <c r="P1352" s="835"/>
      <c r="Q1352" s="540"/>
      <c r="R1352" s="540"/>
      <c r="S1352" s="540"/>
      <c r="T1352" s="540"/>
      <c r="U1352" s="540"/>
      <c r="V1352" s="540"/>
      <c r="W1352" s="540"/>
      <c r="X1352" s="540"/>
      <c r="Y1352" s="540"/>
      <c r="Z1352" s="540"/>
    </row>
    <row r="1353" spans="1:26" ht="19">
      <c r="A1353" s="631"/>
      <c r="B1353" s="631"/>
      <c r="C1353" s="631"/>
      <c r="D1353" s="832"/>
      <c r="E1353" s="631"/>
      <c r="F1353" s="631"/>
      <c r="G1353" s="631"/>
      <c r="H1353" s="833"/>
      <c r="I1353" s="834"/>
      <c r="J1353" s="834"/>
      <c r="K1353" s="835"/>
      <c r="L1353" s="835"/>
      <c r="M1353" s="835"/>
      <c r="N1353" s="835"/>
      <c r="O1353" s="835"/>
      <c r="P1353" s="835"/>
      <c r="Q1353" s="540"/>
      <c r="R1353" s="540"/>
      <c r="S1353" s="540"/>
      <c r="T1353" s="540"/>
      <c r="U1353" s="540"/>
      <c r="V1353" s="540"/>
      <c r="W1353" s="540"/>
      <c r="X1353" s="540"/>
      <c r="Y1353" s="540"/>
      <c r="Z1353" s="540"/>
    </row>
    <row r="1354" spans="1:26" ht="19">
      <c r="A1354" s="631"/>
      <c r="B1354" s="631"/>
      <c r="C1354" s="631"/>
      <c r="D1354" s="832"/>
      <c r="E1354" s="631"/>
      <c r="F1354" s="631"/>
      <c r="G1354" s="631"/>
      <c r="H1354" s="833"/>
      <c r="I1354" s="834"/>
      <c r="J1354" s="834"/>
      <c r="K1354" s="835"/>
      <c r="L1354" s="835"/>
      <c r="M1354" s="835"/>
      <c r="N1354" s="835"/>
      <c r="O1354" s="835"/>
      <c r="P1354" s="835"/>
      <c r="Q1354" s="540"/>
      <c r="R1354" s="540"/>
      <c r="S1354" s="540"/>
      <c r="T1354" s="540"/>
      <c r="U1354" s="540"/>
      <c r="V1354" s="540"/>
      <c r="W1354" s="540"/>
      <c r="X1354" s="540"/>
      <c r="Y1354" s="540"/>
      <c r="Z1354" s="540"/>
    </row>
    <row r="1355" spans="1:26" ht="19">
      <c r="A1355" s="631"/>
      <c r="B1355" s="631"/>
      <c r="C1355" s="631"/>
      <c r="D1355" s="832"/>
      <c r="E1355" s="631"/>
      <c r="F1355" s="631"/>
      <c r="G1355" s="631"/>
      <c r="H1355" s="833"/>
      <c r="I1355" s="834"/>
      <c r="J1355" s="834"/>
      <c r="K1355" s="835"/>
      <c r="L1355" s="835"/>
      <c r="M1355" s="835"/>
      <c r="N1355" s="835"/>
      <c r="O1355" s="835"/>
      <c r="P1355" s="835"/>
      <c r="Q1355" s="540"/>
      <c r="R1355" s="540"/>
      <c r="S1355" s="540"/>
      <c r="T1355" s="540"/>
      <c r="U1355" s="540"/>
      <c r="V1355" s="540"/>
      <c r="W1355" s="540"/>
      <c r="X1355" s="540"/>
      <c r="Y1355" s="540"/>
      <c r="Z1355" s="540"/>
    </row>
    <row r="1356" spans="1:26" ht="19">
      <c r="A1356" s="631"/>
      <c r="B1356" s="631"/>
      <c r="C1356" s="631"/>
      <c r="D1356" s="832"/>
      <c r="E1356" s="631"/>
      <c r="F1356" s="631"/>
      <c r="G1356" s="631"/>
      <c r="H1356" s="833"/>
      <c r="I1356" s="834"/>
      <c r="J1356" s="834"/>
      <c r="K1356" s="835"/>
      <c r="L1356" s="835"/>
      <c r="M1356" s="835"/>
      <c r="N1356" s="835"/>
      <c r="O1356" s="835"/>
      <c r="P1356" s="835"/>
      <c r="Q1356" s="540"/>
      <c r="R1356" s="540"/>
      <c r="S1356" s="540"/>
      <c r="T1356" s="540"/>
      <c r="U1356" s="540"/>
      <c r="V1356" s="540"/>
      <c r="W1356" s="540"/>
      <c r="X1356" s="540"/>
      <c r="Y1356" s="540"/>
      <c r="Z1356" s="540"/>
    </row>
    <row r="1357" spans="1:26" ht="19">
      <c r="A1357" s="631"/>
      <c r="B1357" s="631"/>
      <c r="C1357" s="631"/>
      <c r="D1357" s="832"/>
      <c r="E1357" s="631"/>
      <c r="F1357" s="631"/>
      <c r="G1357" s="631"/>
      <c r="H1357" s="833"/>
      <c r="I1357" s="834"/>
      <c r="J1357" s="834"/>
      <c r="K1357" s="835"/>
      <c r="L1357" s="835"/>
      <c r="M1357" s="835"/>
      <c r="N1357" s="835"/>
      <c r="O1357" s="835"/>
      <c r="P1357" s="835"/>
      <c r="Q1357" s="540"/>
      <c r="R1357" s="540"/>
      <c r="S1357" s="540"/>
      <c r="T1357" s="540"/>
      <c r="U1357" s="540"/>
      <c r="V1357" s="540"/>
      <c r="W1357" s="540"/>
      <c r="X1357" s="540"/>
      <c r="Y1357" s="540"/>
      <c r="Z1357" s="540"/>
    </row>
    <row r="1358" spans="1:26" ht="19">
      <c r="A1358" s="631"/>
      <c r="B1358" s="631"/>
      <c r="C1358" s="631"/>
      <c r="D1358" s="832"/>
      <c r="E1358" s="631"/>
      <c r="F1358" s="631"/>
      <c r="G1358" s="631"/>
      <c r="H1358" s="833"/>
      <c r="I1358" s="834"/>
      <c r="J1358" s="834"/>
      <c r="K1358" s="835"/>
      <c r="L1358" s="835"/>
      <c r="M1358" s="835"/>
      <c r="N1358" s="835"/>
      <c r="O1358" s="835"/>
      <c r="P1358" s="835"/>
      <c r="Q1358" s="540"/>
      <c r="R1358" s="540"/>
      <c r="S1358" s="540"/>
      <c r="T1358" s="540"/>
      <c r="U1358" s="540"/>
      <c r="V1358" s="540"/>
      <c r="W1358" s="540"/>
      <c r="X1358" s="540"/>
      <c r="Y1358" s="540"/>
      <c r="Z1358" s="540"/>
    </row>
    <row r="1359" spans="1:26" ht="19">
      <c r="A1359" s="631"/>
      <c r="B1359" s="631"/>
      <c r="C1359" s="631"/>
      <c r="D1359" s="832"/>
      <c r="E1359" s="631"/>
      <c r="F1359" s="631"/>
      <c r="G1359" s="631"/>
      <c r="H1359" s="833"/>
      <c r="I1359" s="834"/>
      <c r="J1359" s="834"/>
      <c r="K1359" s="835"/>
      <c r="L1359" s="835"/>
      <c r="M1359" s="835"/>
      <c r="N1359" s="835"/>
      <c r="O1359" s="835"/>
      <c r="P1359" s="835"/>
      <c r="Q1359" s="540"/>
      <c r="R1359" s="540"/>
      <c r="S1359" s="540"/>
      <c r="T1359" s="540"/>
      <c r="U1359" s="540"/>
      <c r="V1359" s="540"/>
      <c r="W1359" s="540"/>
      <c r="X1359" s="540"/>
      <c r="Y1359" s="540"/>
      <c r="Z1359" s="540"/>
    </row>
    <row r="1360" spans="1:26" ht="19">
      <c r="A1360" s="631"/>
      <c r="B1360" s="631"/>
      <c r="C1360" s="631"/>
      <c r="D1360" s="832"/>
      <c r="E1360" s="631"/>
      <c r="F1360" s="631"/>
      <c r="G1360" s="631"/>
      <c r="H1360" s="833"/>
      <c r="I1360" s="834"/>
      <c r="J1360" s="834"/>
      <c r="K1360" s="835"/>
      <c r="L1360" s="835"/>
      <c r="M1360" s="835"/>
      <c r="N1360" s="835"/>
      <c r="O1360" s="835"/>
      <c r="P1360" s="835"/>
      <c r="Q1360" s="540"/>
      <c r="R1360" s="540"/>
      <c r="S1360" s="540"/>
      <c r="T1360" s="540"/>
      <c r="U1360" s="540"/>
      <c r="V1360" s="540"/>
      <c r="W1360" s="540"/>
      <c r="X1360" s="540"/>
      <c r="Y1360" s="540"/>
      <c r="Z1360" s="540"/>
    </row>
    <row r="1361" spans="1:26" ht="19">
      <c r="A1361" s="631"/>
      <c r="B1361" s="631"/>
      <c r="C1361" s="631"/>
      <c r="D1361" s="832"/>
      <c r="E1361" s="631"/>
      <c r="F1361" s="631"/>
      <c r="G1361" s="631"/>
      <c r="H1361" s="833"/>
      <c r="I1361" s="834"/>
      <c r="J1361" s="834"/>
      <c r="K1361" s="835"/>
      <c r="L1361" s="835"/>
      <c r="M1361" s="835"/>
      <c r="N1361" s="835"/>
      <c r="O1361" s="835"/>
      <c r="P1361" s="835"/>
      <c r="Q1361" s="540"/>
      <c r="R1361" s="540"/>
      <c r="S1361" s="540"/>
      <c r="T1361" s="540"/>
      <c r="U1361" s="540"/>
      <c r="V1361" s="540"/>
      <c r="W1361" s="540"/>
      <c r="X1361" s="540"/>
      <c r="Y1361" s="540"/>
      <c r="Z1361" s="540"/>
    </row>
    <row r="1362" spans="1:26" ht="19">
      <c r="A1362" s="631"/>
      <c r="B1362" s="631"/>
      <c r="C1362" s="631"/>
      <c r="D1362" s="832"/>
      <c r="E1362" s="631"/>
      <c r="F1362" s="631"/>
      <c r="G1362" s="631"/>
      <c r="H1362" s="833"/>
      <c r="I1362" s="834"/>
      <c r="J1362" s="834"/>
      <c r="K1362" s="835"/>
      <c r="L1362" s="835"/>
      <c r="M1362" s="835"/>
      <c r="N1362" s="835"/>
      <c r="O1362" s="835"/>
      <c r="P1362" s="835"/>
      <c r="Q1362" s="540"/>
      <c r="R1362" s="540"/>
      <c r="S1362" s="540"/>
      <c r="T1362" s="540"/>
      <c r="U1362" s="540"/>
      <c r="V1362" s="540"/>
      <c r="W1362" s="540"/>
      <c r="X1362" s="540"/>
      <c r="Y1362" s="540"/>
      <c r="Z1362" s="540"/>
    </row>
    <row r="1363" spans="1:26" ht="19">
      <c r="A1363" s="631"/>
      <c r="B1363" s="631"/>
      <c r="C1363" s="631"/>
      <c r="D1363" s="832"/>
      <c r="E1363" s="631"/>
      <c r="F1363" s="631"/>
      <c r="G1363" s="631"/>
      <c r="H1363" s="833"/>
      <c r="I1363" s="834"/>
      <c r="J1363" s="834"/>
      <c r="K1363" s="835"/>
      <c r="L1363" s="835"/>
      <c r="M1363" s="835"/>
      <c r="N1363" s="835"/>
      <c r="O1363" s="835"/>
      <c r="P1363" s="835"/>
      <c r="Q1363" s="540"/>
      <c r="R1363" s="540"/>
      <c r="S1363" s="540"/>
      <c r="T1363" s="540"/>
      <c r="U1363" s="540"/>
      <c r="V1363" s="540"/>
      <c r="W1363" s="540"/>
      <c r="X1363" s="540"/>
      <c r="Y1363" s="540"/>
      <c r="Z1363" s="540"/>
    </row>
    <row r="1364" spans="1:26" ht="19">
      <c r="A1364" s="631"/>
      <c r="B1364" s="631"/>
      <c r="C1364" s="631"/>
      <c r="D1364" s="832"/>
      <c r="E1364" s="631"/>
      <c r="F1364" s="631"/>
      <c r="G1364" s="631"/>
      <c r="H1364" s="833"/>
      <c r="I1364" s="834"/>
      <c r="J1364" s="834"/>
      <c r="K1364" s="835"/>
      <c r="L1364" s="835"/>
      <c r="M1364" s="835"/>
      <c r="N1364" s="835"/>
      <c r="O1364" s="835"/>
      <c r="P1364" s="835"/>
      <c r="Q1364" s="540"/>
      <c r="R1364" s="540"/>
      <c r="S1364" s="540"/>
      <c r="T1364" s="540"/>
      <c r="U1364" s="540"/>
      <c r="V1364" s="540"/>
      <c r="W1364" s="540"/>
      <c r="X1364" s="540"/>
      <c r="Y1364" s="540"/>
      <c r="Z1364" s="540"/>
    </row>
    <row r="1365" spans="1:26" ht="19">
      <c r="A1365" s="631"/>
      <c r="B1365" s="631"/>
      <c r="C1365" s="631"/>
      <c r="D1365" s="832"/>
      <c r="E1365" s="631"/>
      <c r="F1365" s="631"/>
      <c r="G1365" s="631"/>
      <c r="H1365" s="833"/>
      <c r="I1365" s="834"/>
      <c r="J1365" s="834"/>
      <c r="K1365" s="835"/>
      <c r="L1365" s="835"/>
      <c r="M1365" s="835"/>
      <c r="N1365" s="835"/>
      <c r="O1365" s="835"/>
      <c r="P1365" s="835"/>
      <c r="Q1365" s="540"/>
      <c r="R1365" s="540"/>
      <c r="S1365" s="540"/>
      <c r="T1365" s="540"/>
      <c r="U1365" s="540"/>
      <c r="V1365" s="540"/>
      <c r="W1365" s="540"/>
      <c r="X1365" s="540"/>
      <c r="Y1365" s="540"/>
      <c r="Z1365" s="540"/>
    </row>
    <row r="1366" spans="1:26" ht="19">
      <c r="A1366" s="631"/>
      <c r="B1366" s="631"/>
      <c r="C1366" s="631"/>
      <c r="D1366" s="832"/>
      <c r="E1366" s="631"/>
      <c r="F1366" s="631"/>
      <c r="G1366" s="631"/>
      <c r="H1366" s="833"/>
      <c r="I1366" s="834"/>
      <c r="J1366" s="834"/>
      <c r="K1366" s="835"/>
      <c r="L1366" s="835"/>
      <c r="M1366" s="835"/>
      <c r="N1366" s="835"/>
      <c r="O1366" s="835"/>
      <c r="P1366" s="835"/>
      <c r="Q1366" s="540"/>
      <c r="R1366" s="540"/>
      <c r="S1366" s="540"/>
      <c r="T1366" s="540"/>
      <c r="U1366" s="540"/>
      <c r="V1366" s="540"/>
      <c r="W1366" s="540"/>
      <c r="X1366" s="540"/>
      <c r="Y1366" s="540"/>
      <c r="Z1366" s="540"/>
    </row>
    <row r="1367" spans="1:26" ht="19">
      <c r="A1367" s="631"/>
      <c r="B1367" s="631"/>
      <c r="C1367" s="631"/>
      <c r="D1367" s="832"/>
      <c r="E1367" s="631"/>
      <c r="F1367" s="631"/>
      <c r="G1367" s="631"/>
      <c r="H1367" s="833"/>
      <c r="I1367" s="834"/>
      <c r="J1367" s="834"/>
      <c r="K1367" s="835"/>
      <c r="L1367" s="835"/>
      <c r="M1367" s="835"/>
      <c r="N1367" s="835"/>
      <c r="O1367" s="835"/>
      <c r="P1367" s="835"/>
      <c r="Q1367" s="540"/>
      <c r="R1367" s="540"/>
      <c r="S1367" s="540"/>
      <c r="T1367" s="540"/>
      <c r="U1367" s="540"/>
      <c r="V1367" s="540"/>
      <c r="W1367" s="540"/>
      <c r="X1367" s="540"/>
      <c r="Y1367" s="540"/>
      <c r="Z1367" s="540"/>
    </row>
    <row r="1368" spans="1:26" ht="19">
      <c r="A1368" s="631"/>
      <c r="B1368" s="631"/>
      <c r="C1368" s="631"/>
      <c r="D1368" s="832"/>
      <c r="E1368" s="631"/>
      <c r="F1368" s="631"/>
      <c r="G1368" s="631"/>
      <c r="H1368" s="833"/>
      <c r="I1368" s="834"/>
      <c r="J1368" s="834"/>
      <c r="K1368" s="835"/>
      <c r="L1368" s="835"/>
      <c r="M1368" s="835"/>
      <c r="N1368" s="835"/>
      <c r="O1368" s="835"/>
      <c r="P1368" s="835"/>
      <c r="Q1368" s="540"/>
      <c r="R1368" s="540"/>
      <c r="S1368" s="540"/>
      <c r="T1368" s="540"/>
      <c r="U1368" s="540"/>
      <c r="V1368" s="540"/>
      <c r="W1368" s="540"/>
      <c r="X1368" s="540"/>
      <c r="Y1368" s="540"/>
      <c r="Z1368" s="540"/>
    </row>
    <row r="1369" spans="1:26" ht="19">
      <c r="A1369" s="631"/>
      <c r="B1369" s="631"/>
      <c r="C1369" s="631"/>
      <c r="D1369" s="832"/>
      <c r="E1369" s="631"/>
      <c r="F1369" s="631"/>
      <c r="G1369" s="631"/>
      <c r="H1369" s="833"/>
      <c r="I1369" s="834"/>
      <c r="J1369" s="834"/>
      <c r="K1369" s="835"/>
      <c r="L1369" s="835"/>
      <c r="M1369" s="835"/>
      <c r="N1369" s="835"/>
      <c r="O1369" s="835"/>
      <c r="P1369" s="835"/>
      <c r="Q1369" s="540"/>
      <c r="R1369" s="540"/>
      <c r="S1369" s="540"/>
      <c r="T1369" s="540"/>
      <c r="U1369" s="540"/>
      <c r="V1369" s="540"/>
      <c r="W1369" s="540"/>
      <c r="X1369" s="540"/>
      <c r="Y1369" s="540"/>
      <c r="Z1369" s="540"/>
    </row>
    <row r="1370" spans="1:26" ht="19">
      <c r="A1370" s="631"/>
      <c r="B1370" s="631"/>
      <c r="C1370" s="631"/>
      <c r="D1370" s="832"/>
      <c r="E1370" s="631"/>
      <c r="F1370" s="631"/>
      <c r="G1370" s="631"/>
      <c r="H1370" s="833"/>
      <c r="I1370" s="834"/>
      <c r="J1370" s="834"/>
      <c r="K1370" s="835"/>
      <c r="L1370" s="835"/>
      <c r="M1370" s="835"/>
      <c r="N1370" s="835"/>
      <c r="O1370" s="835"/>
      <c r="P1370" s="835"/>
      <c r="Q1370" s="540"/>
      <c r="R1370" s="540"/>
      <c r="S1370" s="540"/>
      <c r="T1370" s="540"/>
      <c r="U1370" s="540"/>
      <c r="V1370" s="540"/>
      <c r="W1370" s="540"/>
      <c r="X1370" s="540"/>
      <c r="Y1370" s="540"/>
      <c r="Z1370" s="540"/>
    </row>
    <row r="1371" spans="1:26" ht="19">
      <c r="A1371" s="631"/>
      <c r="B1371" s="631"/>
      <c r="C1371" s="631"/>
      <c r="D1371" s="832"/>
      <c r="E1371" s="631"/>
      <c r="F1371" s="631"/>
      <c r="G1371" s="631"/>
      <c r="H1371" s="833"/>
      <c r="I1371" s="834"/>
      <c r="J1371" s="834"/>
      <c r="K1371" s="835"/>
      <c r="L1371" s="835"/>
      <c r="M1371" s="835"/>
      <c r="N1371" s="835"/>
      <c r="O1371" s="835"/>
      <c r="P1371" s="835"/>
      <c r="Q1371" s="540"/>
      <c r="R1371" s="540"/>
      <c r="S1371" s="540"/>
      <c r="T1371" s="540"/>
      <c r="U1371" s="540"/>
      <c r="V1371" s="540"/>
      <c r="W1371" s="540"/>
      <c r="X1371" s="540"/>
      <c r="Y1371" s="540"/>
      <c r="Z1371" s="540"/>
    </row>
    <row r="1372" spans="1:26" ht="19">
      <c r="A1372" s="631"/>
      <c r="B1372" s="631"/>
      <c r="C1372" s="631"/>
      <c r="D1372" s="832"/>
      <c r="E1372" s="631"/>
      <c r="F1372" s="631"/>
      <c r="G1372" s="631"/>
      <c r="H1372" s="833"/>
      <c r="I1372" s="834"/>
      <c r="J1372" s="834"/>
      <c r="K1372" s="835"/>
      <c r="L1372" s="835"/>
      <c r="M1372" s="835"/>
      <c r="N1372" s="835"/>
      <c r="O1372" s="835"/>
      <c r="P1372" s="835"/>
      <c r="Q1372" s="540"/>
      <c r="R1372" s="540"/>
      <c r="S1372" s="540"/>
      <c r="T1372" s="540"/>
      <c r="U1372" s="540"/>
      <c r="V1372" s="540"/>
      <c r="W1372" s="540"/>
      <c r="X1372" s="540"/>
      <c r="Y1372" s="540"/>
      <c r="Z1372" s="540"/>
    </row>
    <row r="1373" spans="1:26" ht="19">
      <c r="A1373" s="631"/>
      <c r="B1373" s="631"/>
      <c r="C1373" s="631"/>
      <c r="D1373" s="832"/>
      <c r="E1373" s="631"/>
      <c r="F1373" s="631"/>
      <c r="G1373" s="631"/>
      <c r="H1373" s="833"/>
      <c r="I1373" s="834"/>
      <c r="J1373" s="834"/>
      <c r="K1373" s="835"/>
      <c r="L1373" s="835"/>
      <c r="M1373" s="835"/>
      <c r="N1373" s="835"/>
      <c r="O1373" s="835"/>
      <c r="P1373" s="835"/>
      <c r="Q1373" s="540"/>
      <c r="R1373" s="540"/>
      <c r="S1373" s="540"/>
      <c r="T1373" s="540"/>
      <c r="U1373" s="540"/>
      <c r="V1373" s="540"/>
      <c r="W1373" s="540"/>
      <c r="X1373" s="540"/>
      <c r="Y1373" s="540"/>
      <c r="Z1373" s="540"/>
    </row>
    <row r="1374" spans="1:26" ht="19">
      <c r="A1374" s="631"/>
      <c r="B1374" s="631"/>
      <c r="C1374" s="631"/>
      <c r="D1374" s="832"/>
      <c r="E1374" s="631"/>
      <c r="F1374" s="631"/>
      <c r="G1374" s="631"/>
      <c r="H1374" s="833"/>
      <c r="I1374" s="834"/>
      <c r="J1374" s="834"/>
      <c r="K1374" s="835"/>
      <c r="L1374" s="835"/>
      <c r="M1374" s="835"/>
      <c r="N1374" s="835"/>
      <c r="O1374" s="835"/>
      <c r="P1374" s="835"/>
      <c r="Q1374" s="540"/>
      <c r="R1374" s="540"/>
      <c r="S1374" s="540"/>
      <c r="T1374" s="540"/>
      <c r="U1374" s="540"/>
      <c r="V1374" s="540"/>
      <c r="W1374" s="540"/>
      <c r="X1374" s="540"/>
      <c r="Y1374" s="540"/>
      <c r="Z1374" s="540"/>
    </row>
    <row r="1375" spans="1:26" ht="19">
      <c r="A1375" s="631"/>
      <c r="B1375" s="631"/>
      <c r="C1375" s="631"/>
      <c r="D1375" s="832"/>
      <c r="E1375" s="631"/>
      <c r="F1375" s="631"/>
      <c r="G1375" s="631"/>
      <c r="H1375" s="833"/>
      <c r="I1375" s="834"/>
      <c r="J1375" s="834"/>
      <c r="K1375" s="835"/>
      <c r="L1375" s="835"/>
      <c r="M1375" s="835"/>
      <c r="N1375" s="835"/>
      <c r="O1375" s="835"/>
      <c r="P1375" s="835"/>
      <c r="Q1375" s="540"/>
      <c r="R1375" s="540"/>
      <c r="S1375" s="540"/>
      <c r="T1375" s="540"/>
      <c r="U1375" s="540"/>
      <c r="V1375" s="540"/>
      <c r="W1375" s="540"/>
      <c r="X1375" s="540"/>
      <c r="Y1375" s="540"/>
      <c r="Z1375" s="540"/>
    </row>
    <row r="1376" spans="1:26" ht="19">
      <c r="A1376" s="631"/>
      <c r="B1376" s="631"/>
      <c r="C1376" s="631"/>
      <c r="D1376" s="832"/>
      <c r="E1376" s="631"/>
      <c r="F1376" s="631"/>
      <c r="G1376" s="631"/>
      <c r="H1376" s="833"/>
      <c r="I1376" s="834"/>
      <c r="J1376" s="834"/>
      <c r="K1376" s="835"/>
      <c r="L1376" s="835"/>
      <c r="M1376" s="835"/>
      <c r="N1376" s="835"/>
      <c r="O1376" s="835"/>
      <c r="P1376" s="835"/>
      <c r="Q1376" s="540"/>
      <c r="R1376" s="540"/>
      <c r="S1376" s="540"/>
      <c r="T1376" s="540"/>
      <c r="U1376" s="540"/>
      <c r="V1376" s="540"/>
      <c r="W1376" s="540"/>
      <c r="X1376" s="540"/>
      <c r="Y1376" s="540"/>
      <c r="Z1376" s="540"/>
    </row>
    <row r="1377" spans="1:26" ht="19">
      <c r="A1377" s="631"/>
      <c r="B1377" s="631"/>
      <c r="C1377" s="631"/>
      <c r="D1377" s="832"/>
      <c r="E1377" s="631"/>
      <c r="F1377" s="631"/>
      <c r="G1377" s="631"/>
      <c r="H1377" s="833"/>
      <c r="I1377" s="834"/>
      <c r="J1377" s="834"/>
      <c r="K1377" s="835"/>
      <c r="L1377" s="835"/>
      <c r="M1377" s="835"/>
      <c r="N1377" s="835"/>
      <c r="O1377" s="835"/>
      <c r="P1377" s="835"/>
      <c r="Q1377" s="540"/>
      <c r="R1377" s="540"/>
      <c r="S1377" s="540"/>
      <c r="T1377" s="540"/>
      <c r="U1377" s="540"/>
      <c r="V1377" s="540"/>
      <c r="W1377" s="540"/>
      <c r="X1377" s="540"/>
      <c r="Y1377" s="540"/>
      <c r="Z1377" s="540"/>
    </row>
    <row r="1378" spans="1:26" ht="19">
      <c r="A1378" s="631"/>
      <c r="B1378" s="631"/>
      <c r="C1378" s="631"/>
      <c r="D1378" s="832"/>
      <c r="E1378" s="631"/>
      <c r="F1378" s="631"/>
      <c r="G1378" s="631"/>
      <c r="H1378" s="833"/>
      <c r="I1378" s="834"/>
      <c r="J1378" s="834"/>
      <c r="K1378" s="835"/>
      <c r="L1378" s="835"/>
      <c r="M1378" s="835"/>
      <c r="N1378" s="835"/>
      <c r="O1378" s="835"/>
      <c r="P1378" s="835"/>
      <c r="Q1378" s="540"/>
      <c r="R1378" s="540"/>
      <c r="S1378" s="540"/>
      <c r="T1378" s="540"/>
      <c r="U1378" s="540"/>
      <c r="V1378" s="540"/>
      <c r="W1378" s="540"/>
      <c r="X1378" s="540"/>
      <c r="Y1378" s="540"/>
      <c r="Z1378" s="540"/>
    </row>
    <row r="1379" spans="1:26" ht="19">
      <c r="A1379" s="631"/>
      <c r="B1379" s="631"/>
      <c r="C1379" s="631"/>
      <c r="D1379" s="832"/>
      <c r="E1379" s="631"/>
      <c r="F1379" s="631"/>
      <c r="G1379" s="631"/>
      <c r="H1379" s="833"/>
      <c r="I1379" s="834"/>
      <c r="J1379" s="834"/>
      <c r="K1379" s="835"/>
      <c r="L1379" s="835"/>
      <c r="M1379" s="835"/>
      <c r="N1379" s="835"/>
      <c r="O1379" s="835"/>
      <c r="P1379" s="835"/>
      <c r="Q1379" s="540"/>
      <c r="R1379" s="540"/>
      <c r="S1379" s="540"/>
      <c r="T1379" s="540"/>
      <c r="U1379" s="540"/>
      <c r="V1379" s="540"/>
      <c r="W1379" s="540"/>
      <c r="X1379" s="540"/>
      <c r="Y1379" s="540"/>
      <c r="Z1379" s="540"/>
    </row>
    <row r="1380" spans="1:26" ht="19">
      <c r="A1380" s="631"/>
      <c r="B1380" s="631"/>
      <c r="C1380" s="631"/>
      <c r="D1380" s="832"/>
      <c r="E1380" s="631"/>
      <c r="F1380" s="631"/>
      <c r="G1380" s="631"/>
      <c r="H1380" s="833"/>
      <c r="I1380" s="834"/>
      <c r="J1380" s="834"/>
      <c r="K1380" s="835"/>
      <c r="L1380" s="835"/>
      <c r="M1380" s="835"/>
      <c r="N1380" s="835"/>
      <c r="O1380" s="835"/>
      <c r="P1380" s="835"/>
      <c r="Q1380" s="540"/>
      <c r="R1380" s="540"/>
      <c r="S1380" s="540"/>
      <c r="T1380" s="540"/>
      <c r="U1380" s="540"/>
      <c r="V1380" s="540"/>
      <c r="W1380" s="540"/>
      <c r="X1380" s="540"/>
      <c r="Y1380" s="540"/>
      <c r="Z1380" s="540"/>
    </row>
    <row r="1381" spans="1:26" ht="19">
      <c r="A1381" s="631"/>
      <c r="B1381" s="631"/>
      <c r="C1381" s="631"/>
      <c r="D1381" s="832"/>
      <c r="E1381" s="631"/>
      <c r="F1381" s="631"/>
      <c r="G1381" s="631"/>
      <c r="H1381" s="833"/>
      <c r="I1381" s="834"/>
      <c r="J1381" s="834"/>
      <c r="K1381" s="835"/>
      <c r="L1381" s="835"/>
      <c r="M1381" s="835"/>
      <c r="N1381" s="835"/>
      <c r="O1381" s="835"/>
      <c r="P1381" s="835"/>
      <c r="Q1381" s="540"/>
      <c r="R1381" s="540"/>
      <c r="S1381" s="540"/>
      <c r="T1381" s="540"/>
      <c r="U1381" s="540"/>
      <c r="V1381" s="540"/>
      <c r="W1381" s="540"/>
      <c r="X1381" s="540"/>
      <c r="Y1381" s="540"/>
      <c r="Z1381" s="540"/>
    </row>
    <row r="1382" spans="1:26" ht="19">
      <c r="A1382" s="631"/>
      <c r="B1382" s="631"/>
      <c r="C1382" s="631"/>
      <c r="D1382" s="832"/>
      <c r="E1382" s="631"/>
      <c r="F1382" s="631"/>
      <c r="G1382" s="631"/>
      <c r="H1382" s="833"/>
      <c r="I1382" s="834"/>
      <c r="J1382" s="834"/>
      <c r="K1382" s="835"/>
      <c r="L1382" s="835"/>
      <c r="M1382" s="835"/>
      <c r="N1382" s="835"/>
      <c r="O1382" s="835"/>
      <c r="P1382" s="835"/>
      <c r="Q1382" s="540"/>
      <c r="R1382" s="540"/>
      <c r="S1382" s="540"/>
      <c r="T1382" s="540"/>
      <c r="U1382" s="540"/>
      <c r="V1382" s="540"/>
      <c r="W1382" s="540"/>
      <c r="X1382" s="540"/>
      <c r="Y1382" s="540"/>
      <c r="Z1382" s="540"/>
    </row>
    <row r="1383" spans="1:26" ht="19">
      <c r="A1383" s="631"/>
      <c r="B1383" s="631"/>
      <c r="C1383" s="631"/>
      <c r="D1383" s="832"/>
      <c r="E1383" s="631"/>
      <c r="F1383" s="631"/>
      <c r="G1383" s="631"/>
      <c r="H1383" s="833"/>
      <c r="I1383" s="834"/>
      <c r="J1383" s="834"/>
      <c r="K1383" s="835"/>
      <c r="L1383" s="835"/>
      <c r="M1383" s="835"/>
      <c r="N1383" s="835"/>
      <c r="O1383" s="835"/>
      <c r="P1383" s="835"/>
      <c r="Q1383" s="540"/>
      <c r="R1383" s="540"/>
      <c r="S1383" s="540"/>
      <c r="T1383" s="540"/>
      <c r="U1383" s="540"/>
      <c r="V1383" s="540"/>
      <c r="W1383" s="540"/>
      <c r="X1383" s="540"/>
      <c r="Y1383" s="540"/>
      <c r="Z1383" s="540"/>
    </row>
    <row r="1384" spans="1:26" ht="19">
      <c r="A1384" s="631"/>
      <c r="B1384" s="631"/>
      <c r="C1384" s="631"/>
      <c r="D1384" s="832"/>
      <c r="E1384" s="631"/>
      <c r="F1384" s="631"/>
      <c r="G1384" s="631"/>
      <c r="H1384" s="833"/>
      <c r="I1384" s="834"/>
      <c r="J1384" s="834"/>
      <c r="K1384" s="835"/>
      <c r="L1384" s="835"/>
      <c r="M1384" s="835"/>
      <c r="N1384" s="835"/>
      <c r="O1384" s="835"/>
      <c r="P1384" s="835"/>
      <c r="Q1384" s="540"/>
      <c r="R1384" s="540"/>
      <c r="S1384" s="540"/>
      <c r="T1384" s="540"/>
      <c r="U1384" s="540"/>
      <c r="V1384" s="540"/>
      <c r="W1384" s="540"/>
      <c r="X1384" s="540"/>
      <c r="Y1384" s="540"/>
      <c r="Z1384" s="540"/>
    </row>
    <row r="1385" spans="1:26" ht="19">
      <c r="A1385" s="631"/>
      <c r="B1385" s="631"/>
      <c r="C1385" s="631"/>
      <c r="D1385" s="832"/>
      <c r="E1385" s="631"/>
      <c r="F1385" s="631"/>
      <c r="G1385" s="631"/>
      <c r="H1385" s="833"/>
      <c r="I1385" s="834"/>
      <c r="J1385" s="834"/>
      <c r="K1385" s="835"/>
      <c r="L1385" s="835"/>
      <c r="M1385" s="835"/>
      <c r="N1385" s="835"/>
      <c r="O1385" s="835"/>
      <c r="P1385" s="835"/>
      <c r="Q1385" s="540"/>
      <c r="R1385" s="540"/>
      <c r="S1385" s="540"/>
      <c r="T1385" s="540"/>
      <c r="U1385" s="540"/>
      <c r="V1385" s="540"/>
      <c r="W1385" s="540"/>
      <c r="X1385" s="540"/>
      <c r="Y1385" s="540"/>
      <c r="Z1385" s="540"/>
    </row>
    <row r="1386" spans="1:26" ht="19">
      <c r="A1386" s="631"/>
      <c r="B1386" s="631"/>
      <c r="C1386" s="631"/>
      <c r="D1386" s="832"/>
      <c r="E1386" s="631"/>
      <c r="F1386" s="631"/>
      <c r="G1386" s="631"/>
      <c r="H1386" s="833"/>
      <c r="I1386" s="834"/>
      <c r="J1386" s="834"/>
      <c r="K1386" s="835"/>
      <c r="L1386" s="835"/>
      <c r="M1386" s="835"/>
      <c r="N1386" s="835"/>
      <c r="O1386" s="835"/>
      <c r="P1386" s="835"/>
      <c r="Q1386" s="540"/>
      <c r="R1386" s="540"/>
      <c r="S1386" s="540"/>
      <c r="T1386" s="540"/>
      <c r="U1386" s="540"/>
      <c r="V1386" s="540"/>
      <c r="W1386" s="540"/>
      <c r="X1386" s="540"/>
      <c r="Y1386" s="540"/>
      <c r="Z1386" s="540"/>
    </row>
    <row r="1387" spans="1:26" ht="19">
      <c r="A1387" s="631"/>
      <c r="B1387" s="631"/>
      <c r="C1387" s="631"/>
      <c r="D1387" s="832"/>
      <c r="E1387" s="631"/>
      <c r="F1387" s="631"/>
      <c r="G1387" s="631"/>
      <c r="H1387" s="833"/>
      <c r="I1387" s="834"/>
      <c r="J1387" s="834"/>
      <c r="K1387" s="835"/>
      <c r="L1387" s="835"/>
      <c r="M1387" s="835"/>
      <c r="N1387" s="835"/>
      <c r="O1387" s="835"/>
      <c r="P1387" s="835"/>
      <c r="Q1387" s="540"/>
      <c r="R1387" s="540"/>
      <c r="S1387" s="540"/>
      <c r="T1387" s="540"/>
      <c r="U1387" s="540"/>
      <c r="V1387" s="540"/>
      <c r="W1387" s="540"/>
      <c r="X1387" s="540"/>
      <c r="Y1387" s="540"/>
      <c r="Z1387" s="540"/>
    </row>
    <row r="1388" spans="1:26" ht="19">
      <c r="A1388" s="631"/>
      <c r="B1388" s="631"/>
      <c r="C1388" s="631"/>
      <c r="D1388" s="832"/>
      <c r="E1388" s="631"/>
      <c r="F1388" s="631"/>
      <c r="G1388" s="631"/>
      <c r="H1388" s="833"/>
      <c r="I1388" s="834"/>
      <c r="J1388" s="834"/>
      <c r="K1388" s="835"/>
      <c r="L1388" s="835"/>
      <c r="M1388" s="835"/>
      <c r="N1388" s="835"/>
      <c r="O1388" s="835"/>
      <c r="P1388" s="835"/>
      <c r="Q1388" s="540"/>
      <c r="R1388" s="540"/>
      <c r="S1388" s="540"/>
      <c r="T1388" s="540"/>
      <c r="U1388" s="540"/>
      <c r="V1388" s="540"/>
      <c r="W1388" s="540"/>
      <c r="X1388" s="540"/>
      <c r="Y1388" s="540"/>
      <c r="Z1388" s="540"/>
    </row>
    <row r="1389" spans="1:26" ht="19">
      <c r="A1389" s="631"/>
      <c r="B1389" s="631"/>
      <c r="C1389" s="631"/>
      <c r="D1389" s="832"/>
      <c r="E1389" s="631"/>
      <c r="F1389" s="631"/>
      <c r="G1389" s="631"/>
      <c r="H1389" s="833"/>
      <c r="I1389" s="834"/>
      <c r="J1389" s="834"/>
      <c r="K1389" s="835"/>
      <c r="L1389" s="835"/>
      <c r="M1389" s="835"/>
      <c r="N1389" s="835"/>
      <c r="O1389" s="835"/>
      <c r="P1389" s="835"/>
      <c r="Q1389" s="540"/>
      <c r="R1389" s="540"/>
      <c r="S1389" s="540"/>
      <c r="T1389" s="540"/>
      <c r="U1389" s="540"/>
      <c r="V1389" s="540"/>
      <c r="W1389" s="540"/>
      <c r="X1389" s="540"/>
      <c r="Y1389" s="540"/>
      <c r="Z1389" s="540"/>
    </row>
    <row r="1390" spans="1:26" ht="19">
      <c r="A1390" s="631"/>
      <c r="B1390" s="631"/>
      <c r="C1390" s="631"/>
      <c r="D1390" s="832"/>
      <c r="E1390" s="631"/>
      <c r="F1390" s="631"/>
      <c r="G1390" s="631"/>
      <c r="H1390" s="833"/>
      <c r="I1390" s="834"/>
      <c r="J1390" s="834"/>
      <c r="K1390" s="835"/>
      <c r="L1390" s="835"/>
      <c r="M1390" s="835"/>
      <c r="N1390" s="835"/>
      <c r="O1390" s="835"/>
      <c r="P1390" s="835"/>
      <c r="Q1390" s="540"/>
      <c r="R1390" s="540"/>
      <c r="S1390" s="540"/>
      <c r="T1390" s="540"/>
      <c r="U1390" s="540"/>
      <c r="V1390" s="540"/>
      <c r="W1390" s="540"/>
      <c r="X1390" s="540"/>
      <c r="Y1390" s="540"/>
      <c r="Z1390" s="540"/>
    </row>
    <row r="1391" spans="1:26" ht="19">
      <c r="A1391" s="631"/>
      <c r="B1391" s="631"/>
      <c r="C1391" s="631"/>
      <c r="D1391" s="832"/>
      <c r="E1391" s="631"/>
      <c r="F1391" s="631"/>
      <c r="G1391" s="631"/>
      <c r="H1391" s="833"/>
      <c r="I1391" s="834"/>
      <c r="J1391" s="834"/>
      <c r="K1391" s="835"/>
      <c r="L1391" s="835"/>
      <c r="M1391" s="835"/>
      <c r="N1391" s="835"/>
      <c r="O1391" s="835"/>
      <c r="P1391" s="835"/>
      <c r="Q1391" s="540"/>
      <c r="R1391" s="540"/>
      <c r="S1391" s="540"/>
      <c r="T1391" s="540"/>
      <c r="U1391" s="540"/>
      <c r="V1391" s="540"/>
      <c r="W1391" s="540"/>
      <c r="X1391" s="540"/>
      <c r="Y1391" s="540"/>
      <c r="Z1391" s="540"/>
    </row>
    <row r="1392" spans="1:26" ht="19">
      <c r="A1392" s="631"/>
      <c r="B1392" s="631"/>
      <c r="C1392" s="631"/>
      <c r="D1392" s="832"/>
      <c r="E1392" s="631"/>
      <c r="F1392" s="631"/>
      <c r="G1392" s="631"/>
      <c r="H1392" s="833"/>
      <c r="I1392" s="834"/>
      <c r="J1392" s="834"/>
      <c r="K1392" s="835"/>
      <c r="L1392" s="835"/>
      <c r="M1392" s="835"/>
      <c r="N1392" s="835"/>
      <c r="O1392" s="835"/>
      <c r="P1392" s="835"/>
      <c r="Q1392" s="540"/>
      <c r="R1392" s="540"/>
      <c r="S1392" s="540"/>
      <c r="T1392" s="540"/>
      <c r="U1392" s="540"/>
      <c r="V1392" s="540"/>
      <c r="W1392" s="540"/>
      <c r="X1392" s="540"/>
      <c r="Y1392" s="540"/>
      <c r="Z1392" s="540"/>
    </row>
    <row r="1393" spans="1:26" ht="19">
      <c r="A1393" s="631"/>
      <c r="B1393" s="631"/>
      <c r="C1393" s="631"/>
      <c r="D1393" s="832"/>
      <c r="E1393" s="631"/>
      <c r="F1393" s="631"/>
      <c r="G1393" s="631"/>
      <c r="H1393" s="833"/>
      <c r="I1393" s="834"/>
      <c r="J1393" s="834"/>
      <c r="K1393" s="835"/>
      <c r="L1393" s="835"/>
      <c r="M1393" s="835"/>
      <c r="N1393" s="835"/>
      <c r="O1393" s="835"/>
      <c r="P1393" s="835"/>
      <c r="Q1393" s="540"/>
      <c r="R1393" s="540"/>
      <c r="S1393" s="540"/>
      <c r="T1393" s="540"/>
      <c r="U1393" s="540"/>
      <c r="V1393" s="540"/>
      <c r="W1393" s="540"/>
      <c r="X1393" s="540"/>
      <c r="Y1393" s="540"/>
      <c r="Z1393" s="540"/>
    </row>
    <row r="1394" spans="1:26" ht="19">
      <c r="A1394" s="631"/>
      <c r="B1394" s="631"/>
      <c r="C1394" s="631"/>
      <c r="D1394" s="832"/>
      <c r="E1394" s="631"/>
      <c r="F1394" s="631"/>
      <c r="G1394" s="631"/>
      <c r="H1394" s="833"/>
      <c r="I1394" s="834"/>
      <c r="J1394" s="834"/>
      <c r="K1394" s="835"/>
      <c r="L1394" s="835"/>
      <c r="M1394" s="835"/>
      <c r="N1394" s="835"/>
      <c r="O1394" s="835"/>
      <c r="P1394" s="835"/>
      <c r="Q1394" s="540"/>
      <c r="R1394" s="540"/>
      <c r="S1394" s="540"/>
      <c r="T1394" s="540"/>
      <c r="U1394" s="540"/>
      <c r="V1394" s="540"/>
      <c r="W1394" s="540"/>
      <c r="X1394" s="540"/>
      <c r="Y1394" s="540"/>
      <c r="Z1394" s="540"/>
    </row>
    <row r="1395" spans="1:26" ht="19">
      <c r="A1395" s="631"/>
      <c r="B1395" s="631"/>
      <c r="C1395" s="631"/>
      <c r="D1395" s="832"/>
      <c r="E1395" s="631"/>
      <c r="F1395" s="631"/>
      <c r="G1395" s="631"/>
      <c r="H1395" s="833"/>
      <c r="I1395" s="834"/>
      <c r="J1395" s="834"/>
      <c r="K1395" s="835"/>
      <c r="L1395" s="835"/>
      <c r="M1395" s="835"/>
      <c r="N1395" s="835"/>
      <c r="O1395" s="835"/>
      <c r="P1395" s="835"/>
      <c r="Q1395" s="540"/>
      <c r="R1395" s="540"/>
      <c r="S1395" s="540"/>
      <c r="T1395" s="540"/>
      <c r="U1395" s="540"/>
      <c r="V1395" s="540"/>
      <c r="W1395" s="540"/>
      <c r="X1395" s="540"/>
      <c r="Y1395" s="540"/>
      <c r="Z1395" s="540"/>
    </row>
    <row r="1396" spans="1:26" ht="19">
      <c r="A1396" s="631"/>
      <c r="B1396" s="631"/>
      <c r="C1396" s="631"/>
      <c r="D1396" s="832"/>
      <c r="E1396" s="631"/>
      <c r="F1396" s="631"/>
      <c r="G1396" s="631"/>
      <c r="H1396" s="833"/>
      <c r="I1396" s="834"/>
      <c r="J1396" s="834"/>
      <c r="K1396" s="835"/>
      <c r="L1396" s="835"/>
      <c r="M1396" s="835"/>
      <c r="N1396" s="835"/>
      <c r="O1396" s="835"/>
      <c r="P1396" s="835"/>
      <c r="Q1396" s="540"/>
      <c r="R1396" s="540"/>
      <c r="S1396" s="540"/>
      <c r="T1396" s="540"/>
      <c r="U1396" s="540"/>
      <c r="V1396" s="540"/>
      <c r="W1396" s="540"/>
      <c r="X1396" s="540"/>
      <c r="Y1396" s="540"/>
      <c r="Z1396" s="540"/>
    </row>
    <row r="1397" spans="1:26" ht="19">
      <c r="A1397" s="631"/>
      <c r="B1397" s="631"/>
      <c r="C1397" s="631"/>
      <c r="D1397" s="832"/>
      <c r="E1397" s="631"/>
      <c r="F1397" s="631"/>
      <c r="G1397" s="631"/>
      <c r="H1397" s="833"/>
      <c r="I1397" s="834"/>
      <c r="J1397" s="834"/>
      <c r="K1397" s="835"/>
      <c r="L1397" s="835"/>
      <c r="M1397" s="835"/>
      <c r="N1397" s="835"/>
      <c r="O1397" s="835"/>
      <c r="P1397" s="835"/>
      <c r="Q1397" s="540"/>
      <c r="R1397" s="540"/>
      <c r="S1397" s="540"/>
      <c r="T1397" s="540"/>
      <c r="U1397" s="540"/>
      <c r="V1397" s="540"/>
      <c r="W1397" s="540"/>
      <c r="X1397" s="540"/>
      <c r="Y1397" s="540"/>
      <c r="Z1397" s="540"/>
    </row>
    <row r="1398" spans="1:26" ht="19">
      <c r="A1398" s="631"/>
      <c r="B1398" s="631"/>
      <c r="C1398" s="631"/>
      <c r="D1398" s="832"/>
      <c r="E1398" s="631"/>
      <c r="F1398" s="631"/>
      <c r="G1398" s="631"/>
      <c r="H1398" s="833"/>
      <c r="I1398" s="834"/>
      <c r="J1398" s="834"/>
      <c r="K1398" s="835"/>
      <c r="L1398" s="835"/>
      <c r="M1398" s="835"/>
      <c r="N1398" s="835"/>
      <c r="O1398" s="835"/>
      <c r="P1398" s="835"/>
      <c r="Q1398" s="540"/>
      <c r="R1398" s="540"/>
      <c r="S1398" s="540"/>
      <c r="T1398" s="540"/>
      <c r="U1398" s="540"/>
      <c r="V1398" s="540"/>
      <c r="W1398" s="540"/>
      <c r="X1398" s="540"/>
      <c r="Y1398" s="540"/>
      <c r="Z1398" s="540"/>
    </row>
    <row r="1399" spans="1:26" ht="19">
      <c r="A1399" s="631"/>
      <c r="B1399" s="631"/>
      <c r="C1399" s="631"/>
      <c r="D1399" s="832"/>
      <c r="E1399" s="631"/>
      <c r="F1399" s="631"/>
      <c r="G1399" s="631"/>
      <c r="H1399" s="833"/>
      <c r="I1399" s="834"/>
      <c r="J1399" s="834"/>
      <c r="K1399" s="835"/>
      <c r="L1399" s="835"/>
      <c r="M1399" s="835"/>
      <c r="N1399" s="835"/>
      <c r="O1399" s="835"/>
      <c r="P1399" s="835"/>
      <c r="Q1399" s="540"/>
      <c r="R1399" s="540"/>
      <c r="S1399" s="540"/>
      <c r="T1399" s="540"/>
      <c r="U1399" s="540"/>
      <c r="V1399" s="540"/>
      <c r="W1399" s="540"/>
      <c r="X1399" s="540"/>
      <c r="Y1399" s="540"/>
      <c r="Z1399" s="540"/>
    </row>
    <row r="1400" spans="1:26" ht="19">
      <c r="A1400" s="631"/>
      <c r="B1400" s="631"/>
      <c r="C1400" s="631"/>
      <c r="D1400" s="832"/>
      <c r="E1400" s="631"/>
      <c r="F1400" s="631"/>
      <c r="G1400" s="631"/>
      <c r="H1400" s="833"/>
      <c r="I1400" s="834"/>
      <c r="J1400" s="834"/>
      <c r="K1400" s="835"/>
      <c r="L1400" s="835"/>
      <c r="M1400" s="835"/>
      <c r="N1400" s="835"/>
      <c r="O1400" s="835"/>
      <c r="P1400" s="835"/>
      <c r="Q1400" s="540"/>
      <c r="R1400" s="540"/>
      <c r="S1400" s="540"/>
      <c r="T1400" s="540"/>
      <c r="U1400" s="540"/>
      <c r="V1400" s="540"/>
      <c r="W1400" s="540"/>
      <c r="X1400" s="540"/>
      <c r="Y1400" s="540"/>
      <c r="Z1400" s="540"/>
    </row>
    <row r="1401" spans="1:26" ht="19">
      <c r="A1401" s="631"/>
      <c r="B1401" s="631"/>
      <c r="C1401" s="631"/>
      <c r="D1401" s="832"/>
      <c r="E1401" s="631"/>
      <c r="F1401" s="631"/>
      <c r="G1401" s="631"/>
      <c r="H1401" s="833"/>
      <c r="I1401" s="834"/>
      <c r="J1401" s="834"/>
      <c r="K1401" s="835"/>
      <c r="L1401" s="835"/>
      <c r="M1401" s="835"/>
      <c r="N1401" s="835"/>
      <c r="O1401" s="835"/>
      <c r="P1401" s="835"/>
      <c r="Q1401" s="540"/>
      <c r="R1401" s="540"/>
      <c r="S1401" s="540"/>
      <c r="T1401" s="540"/>
      <c r="U1401" s="540"/>
      <c r="V1401" s="540"/>
      <c r="W1401" s="540"/>
      <c r="X1401" s="540"/>
      <c r="Y1401" s="540"/>
      <c r="Z1401" s="540"/>
    </row>
    <row r="1402" spans="1:26" ht="19">
      <c r="A1402" s="631"/>
      <c r="B1402" s="631"/>
      <c r="C1402" s="631"/>
      <c r="D1402" s="832"/>
      <c r="E1402" s="631"/>
      <c r="F1402" s="631"/>
      <c r="G1402" s="631"/>
      <c r="H1402" s="833"/>
      <c r="I1402" s="834"/>
      <c r="J1402" s="834"/>
      <c r="K1402" s="835"/>
      <c r="L1402" s="835"/>
      <c r="M1402" s="835"/>
      <c r="N1402" s="835"/>
      <c r="O1402" s="835"/>
      <c r="P1402" s="835"/>
      <c r="Q1402" s="540"/>
      <c r="R1402" s="540"/>
      <c r="S1402" s="540"/>
      <c r="T1402" s="540"/>
      <c r="U1402" s="540"/>
      <c r="V1402" s="540"/>
      <c r="W1402" s="540"/>
      <c r="X1402" s="540"/>
      <c r="Y1402" s="540"/>
      <c r="Z1402" s="540"/>
    </row>
    <row r="1403" spans="1:26" ht="19">
      <c r="A1403" s="631"/>
      <c r="B1403" s="631"/>
      <c r="C1403" s="631"/>
      <c r="D1403" s="832"/>
      <c r="E1403" s="631"/>
      <c r="F1403" s="631"/>
      <c r="G1403" s="631"/>
      <c r="H1403" s="833"/>
      <c r="I1403" s="834"/>
      <c r="J1403" s="834"/>
      <c r="K1403" s="835"/>
      <c r="L1403" s="835"/>
      <c r="M1403" s="835"/>
      <c r="N1403" s="835"/>
      <c r="O1403" s="835"/>
      <c r="P1403" s="835"/>
      <c r="Q1403" s="540"/>
      <c r="R1403" s="540"/>
      <c r="S1403" s="540"/>
      <c r="T1403" s="540"/>
      <c r="U1403" s="540"/>
      <c r="V1403" s="540"/>
      <c r="W1403" s="540"/>
      <c r="X1403" s="540"/>
      <c r="Y1403" s="540"/>
      <c r="Z1403" s="540"/>
    </row>
    <row r="1404" spans="1:26" ht="19">
      <c r="A1404" s="631"/>
      <c r="B1404" s="631"/>
      <c r="C1404" s="631"/>
      <c r="D1404" s="832"/>
      <c r="E1404" s="631"/>
      <c r="F1404" s="631"/>
      <c r="G1404" s="631"/>
      <c r="H1404" s="833"/>
      <c r="I1404" s="834"/>
      <c r="J1404" s="834"/>
      <c r="K1404" s="835"/>
      <c r="L1404" s="835"/>
      <c r="M1404" s="835"/>
      <c r="N1404" s="835"/>
      <c r="O1404" s="835"/>
      <c r="P1404" s="835"/>
      <c r="Q1404" s="540"/>
      <c r="R1404" s="540"/>
      <c r="S1404" s="540"/>
      <c r="T1404" s="540"/>
      <c r="U1404" s="540"/>
      <c r="V1404" s="540"/>
      <c r="W1404" s="540"/>
      <c r="X1404" s="540"/>
      <c r="Y1404" s="540"/>
      <c r="Z1404" s="540"/>
    </row>
    <row r="1405" spans="1:26" ht="19">
      <c r="A1405" s="631"/>
      <c r="B1405" s="631"/>
      <c r="C1405" s="631"/>
      <c r="D1405" s="832"/>
      <c r="E1405" s="631"/>
      <c r="F1405" s="631"/>
      <c r="G1405" s="631"/>
      <c r="H1405" s="833"/>
      <c r="I1405" s="834"/>
      <c r="J1405" s="834"/>
      <c r="K1405" s="835"/>
      <c r="L1405" s="835"/>
      <c r="M1405" s="835"/>
      <c r="N1405" s="835"/>
      <c r="O1405" s="835"/>
      <c r="P1405" s="835"/>
      <c r="Q1405" s="540"/>
      <c r="R1405" s="540"/>
      <c r="S1405" s="540"/>
      <c r="T1405" s="540"/>
      <c r="U1405" s="540"/>
      <c r="V1405" s="540"/>
      <c r="W1405" s="540"/>
      <c r="X1405" s="540"/>
      <c r="Y1405" s="540"/>
      <c r="Z1405" s="540"/>
    </row>
    <row r="1406" spans="1:26" ht="19">
      <c r="A1406" s="631"/>
      <c r="B1406" s="631"/>
      <c r="C1406" s="631"/>
      <c r="D1406" s="832"/>
      <c r="E1406" s="631"/>
      <c r="F1406" s="631"/>
      <c r="G1406" s="631"/>
      <c r="H1406" s="833"/>
      <c r="I1406" s="834"/>
      <c r="J1406" s="834"/>
      <c r="K1406" s="835"/>
      <c r="L1406" s="835"/>
      <c r="M1406" s="835"/>
      <c r="N1406" s="835"/>
      <c r="O1406" s="835"/>
      <c r="P1406" s="835"/>
      <c r="Q1406" s="540"/>
      <c r="R1406" s="540"/>
      <c r="S1406" s="540"/>
      <c r="T1406" s="540"/>
      <c r="U1406" s="540"/>
      <c r="V1406" s="540"/>
      <c r="W1406" s="540"/>
      <c r="X1406" s="540"/>
      <c r="Y1406" s="540"/>
      <c r="Z1406" s="540"/>
    </row>
    <row r="1407" spans="1:26" ht="19">
      <c r="A1407" s="631"/>
      <c r="B1407" s="631"/>
      <c r="C1407" s="631"/>
      <c r="D1407" s="832"/>
      <c r="E1407" s="631"/>
      <c r="F1407" s="631"/>
      <c r="G1407" s="631"/>
      <c r="H1407" s="833"/>
      <c r="I1407" s="834"/>
      <c r="J1407" s="834"/>
      <c r="K1407" s="835"/>
      <c r="L1407" s="835"/>
      <c r="M1407" s="835"/>
      <c r="N1407" s="835"/>
      <c r="O1407" s="835"/>
      <c r="P1407" s="835"/>
      <c r="Q1407" s="540"/>
      <c r="R1407" s="540"/>
      <c r="S1407" s="540"/>
      <c r="T1407" s="540"/>
      <c r="U1407" s="540"/>
      <c r="V1407" s="540"/>
      <c r="W1407" s="540"/>
      <c r="X1407" s="540"/>
      <c r="Y1407" s="540"/>
      <c r="Z1407" s="540"/>
    </row>
    <row r="1408" spans="1:26" ht="19">
      <c r="A1408" s="631"/>
      <c r="B1408" s="631"/>
      <c r="C1408" s="631"/>
      <c r="D1408" s="832"/>
      <c r="E1408" s="631"/>
      <c r="F1408" s="631"/>
      <c r="G1408" s="631"/>
      <c r="H1408" s="833"/>
      <c r="I1408" s="834"/>
      <c r="J1408" s="834"/>
      <c r="K1408" s="835"/>
      <c r="L1408" s="835"/>
      <c r="M1408" s="835"/>
      <c r="N1408" s="835"/>
      <c r="O1408" s="835"/>
      <c r="P1408" s="835"/>
      <c r="Q1408" s="540"/>
      <c r="R1408" s="540"/>
      <c r="S1408" s="540"/>
      <c r="T1408" s="540"/>
      <c r="U1408" s="540"/>
      <c r="V1408" s="540"/>
      <c r="W1408" s="540"/>
      <c r="X1408" s="540"/>
      <c r="Y1408" s="540"/>
      <c r="Z1408" s="540"/>
    </row>
    <row r="1409" spans="1:26" ht="19">
      <c r="A1409" s="631"/>
      <c r="B1409" s="631"/>
      <c r="C1409" s="631"/>
      <c r="D1409" s="832"/>
      <c r="E1409" s="631"/>
      <c r="F1409" s="631"/>
      <c r="G1409" s="631"/>
      <c r="H1409" s="833"/>
      <c r="I1409" s="834"/>
      <c r="J1409" s="834"/>
      <c r="K1409" s="835"/>
      <c r="L1409" s="835"/>
      <c r="M1409" s="835"/>
      <c r="N1409" s="835"/>
      <c r="O1409" s="835"/>
      <c r="P1409" s="835"/>
      <c r="Q1409" s="540"/>
      <c r="R1409" s="540"/>
      <c r="S1409" s="540"/>
      <c r="T1409" s="540"/>
      <c r="U1409" s="540"/>
      <c r="V1409" s="540"/>
      <c r="W1409" s="540"/>
      <c r="X1409" s="540"/>
      <c r="Y1409" s="540"/>
      <c r="Z1409" s="540"/>
    </row>
    <row r="1410" spans="1:26" ht="19">
      <c r="A1410" s="631"/>
      <c r="B1410" s="631"/>
      <c r="C1410" s="631"/>
      <c r="D1410" s="832"/>
      <c r="E1410" s="631"/>
      <c r="F1410" s="631"/>
      <c r="G1410" s="631"/>
      <c r="H1410" s="833"/>
      <c r="I1410" s="834"/>
      <c r="J1410" s="834"/>
      <c r="K1410" s="835"/>
      <c r="L1410" s="835"/>
      <c r="M1410" s="835"/>
      <c r="N1410" s="835"/>
      <c r="O1410" s="835"/>
      <c r="P1410" s="835"/>
      <c r="Q1410" s="540"/>
      <c r="R1410" s="540"/>
      <c r="S1410" s="540"/>
      <c r="T1410" s="540"/>
      <c r="U1410" s="540"/>
      <c r="V1410" s="540"/>
      <c r="W1410" s="540"/>
      <c r="X1410" s="540"/>
      <c r="Y1410" s="540"/>
      <c r="Z1410" s="540"/>
    </row>
    <row r="1411" spans="1:26" ht="19">
      <c r="A1411" s="631"/>
      <c r="B1411" s="631"/>
      <c r="C1411" s="631"/>
      <c r="D1411" s="832"/>
      <c r="E1411" s="631"/>
      <c r="F1411" s="631"/>
      <c r="G1411" s="631"/>
      <c r="H1411" s="833"/>
      <c r="I1411" s="834"/>
      <c r="J1411" s="834"/>
      <c r="K1411" s="835"/>
      <c r="L1411" s="835"/>
      <c r="M1411" s="835"/>
      <c r="N1411" s="835"/>
      <c r="O1411" s="835"/>
      <c r="P1411" s="835"/>
      <c r="Q1411" s="540"/>
      <c r="R1411" s="540"/>
      <c r="S1411" s="540"/>
      <c r="T1411" s="540"/>
      <c r="U1411" s="540"/>
      <c r="V1411" s="540"/>
      <c r="W1411" s="540"/>
      <c r="X1411" s="540"/>
      <c r="Y1411" s="540"/>
      <c r="Z1411" s="540"/>
    </row>
    <row r="1412" spans="1:26" ht="19">
      <c r="A1412" s="631"/>
      <c r="B1412" s="631"/>
      <c r="C1412" s="631"/>
      <c r="D1412" s="832"/>
      <c r="E1412" s="631"/>
      <c r="F1412" s="631"/>
      <c r="G1412" s="631"/>
      <c r="H1412" s="833"/>
      <c r="I1412" s="834"/>
      <c r="J1412" s="834"/>
      <c r="K1412" s="835"/>
      <c r="L1412" s="835"/>
      <c r="M1412" s="835"/>
      <c r="N1412" s="835"/>
      <c r="O1412" s="835"/>
      <c r="P1412" s="835"/>
      <c r="Q1412" s="540"/>
      <c r="R1412" s="540"/>
      <c r="S1412" s="540"/>
      <c r="T1412" s="540"/>
      <c r="U1412" s="540"/>
      <c r="V1412" s="540"/>
      <c r="W1412" s="540"/>
      <c r="X1412" s="540"/>
      <c r="Y1412" s="540"/>
      <c r="Z1412" s="540"/>
    </row>
    <row r="1413" spans="1:26" ht="19">
      <c r="A1413" s="631"/>
      <c r="B1413" s="631"/>
      <c r="C1413" s="631"/>
      <c r="D1413" s="832"/>
      <c r="E1413" s="631"/>
      <c r="F1413" s="631"/>
      <c r="G1413" s="631"/>
      <c r="H1413" s="833"/>
      <c r="I1413" s="834"/>
      <c r="J1413" s="834"/>
      <c r="K1413" s="835"/>
      <c r="L1413" s="835"/>
      <c r="M1413" s="835"/>
      <c r="N1413" s="835"/>
      <c r="O1413" s="835"/>
      <c r="P1413" s="835"/>
      <c r="Q1413" s="540"/>
      <c r="R1413" s="540"/>
      <c r="S1413" s="540"/>
      <c r="T1413" s="540"/>
      <c r="U1413" s="540"/>
      <c r="V1413" s="540"/>
      <c r="W1413" s="540"/>
      <c r="X1413" s="540"/>
      <c r="Y1413" s="540"/>
      <c r="Z1413" s="540"/>
    </row>
    <row r="1414" spans="1:26" ht="19">
      <c r="A1414" s="631"/>
      <c r="B1414" s="631"/>
      <c r="C1414" s="631"/>
      <c r="D1414" s="832"/>
      <c r="E1414" s="631"/>
      <c r="F1414" s="631"/>
      <c r="G1414" s="631"/>
      <c r="H1414" s="833"/>
      <c r="I1414" s="834"/>
      <c r="J1414" s="834"/>
      <c r="K1414" s="835"/>
      <c r="L1414" s="835"/>
      <c r="M1414" s="835"/>
      <c r="N1414" s="835"/>
      <c r="O1414" s="835"/>
      <c r="P1414" s="835"/>
      <c r="Q1414" s="540"/>
      <c r="R1414" s="540"/>
      <c r="S1414" s="540"/>
      <c r="T1414" s="540"/>
      <c r="U1414" s="540"/>
      <c r="V1414" s="540"/>
      <c r="W1414" s="540"/>
      <c r="X1414" s="540"/>
      <c r="Y1414" s="540"/>
      <c r="Z1414" s="540"/>
    </row>
    <row r="1415" spans="1:26" ht="19">
      <c r="A1415" s="631"/>
      <c r="B1415" s="631"/>
      <c r="C1415" s="631"/>
      <c r="D1415" s="832"/>
      <c r="E1415" s="631"/>
      <c r="F1415" s="631"/>
      <c r="G1415" s="631"/>
      <c r="H1415" s="833"/>
      <c r="I1415" s="834"/>
      <c r="J1415" s="834"/>
      <c r="K1415" s="835"/>
      <c r="L1415" s="835"/>
      <c r="M1415" s="835"/>
      <c r="N1415" s="835"/>
      <c r="O1415" s="835"/>
      <c r="P1415" s="835"/>
      <c r="Q1415" s="540"/>
      <c r="R1415" s="540"/>
      <c r="S1415" s="540"/>
      <c r="T1415" s="540"/>
      <c r="U1415" s="540"/>
      <c r="V1415" s="540"/>
      <c r="W1415" s="540"/>
      <c r="X1415" s="540"/>
      <c r="Y1415" s="540"/>
      <c r="Z1415" s="540"/>
    </row>
    <row r="1416" spans="1:26" ht="19">
      <c r="A1416" s="631"/>
      <c r="B1416" s="631"/>
      <c r="C1416" s="631"/>
      <c r="D1416" s="832"/>
      <c r="E1416" s="631"/>
      <c r="F1416" s="631"/>
      <c r="G1416" s="631"/>
      <c r="H1416" s="833"/>
      <c r="I1416" s="834"/>
      <c r="J1416" s="834"/>
      <c r="K1416" s="835"/>
      <c r="L1416" s="835"/>
      <c r="M1416" s="835"/>
      <c r="N1416" s="835"/>
      <c r="O1416" s="835"/>
      <c r="P1416" s="835"/>
      <c r="Q1416" s="540"/>
      <c r="R1416" s="540"/>
      <c r="S1416" s="540"/>
      <c r="T1416" s="540"/>
      <c r="U1416" s="540"/>
      <c r="V1416" s="540"/>
      <c r="W1416" s="540"/>
      <c r="X1416" s="540"/>
      <c r="Y1416" s="540"/>
      <c r="Z1416" s="540"/>
    </row>
    <row r="1417" spans="1:26" ht="19">
      <c r="A1417" s="631"/>
      <c r="B1417" s="631"/>
      <c r="C1417" s="631"/>
      <c r="D1417" s="832"/>
      <c r="E1417" s="631"/>
      <c r="F1417" s="631"/>
      <c r="G1417" s="631"/>
      <c r="H1417" s="833"/>
      <c r="I1417" s="834"/>
      <c r="J1417" s="834"/>
      <c r="K1417" s="835"/>
      <c r="L1417" s="835"/>
      <c r="M1417" s="835"/>
      <c r="N1417" s="835"/>
      <c r="O1417" s="835"/>
      <c r="P1417" s="835"/>
      <c r="Q1417" s="540"/>
      <c r="R1417" s="540"/>
      <c r="S1417" s="540"/>
      <c r="T1417" s="540"/>
      <c r="U1417" s="540"/>
      <c r="V1417" s="540"/>
      <c r="W1417" s="540"/>
      <c r="X1417" s="540"/>
      <c r="Y1417" s="540"/>
      <c r="Z1417" s="540"/>
    </row>
    <row r="1418" spans="1:26" ht="19">
      <c r="A1418" s="631"/>
      <c r="B1418" s="631"/>
      <c r="C1418" s="631"/>
      <c r="D1418" s="832"/>
      <c r="E1418" s="631"/>
      <c r="F1418" s="631"/>
      <c r="G1418" s="631"/>
      <c r="H1418" s="833"/>
      <c r="I1418" s="834"/>
      <c r="J1418" s="834"/>
      <c r="K1418" s="835"/>
      <c r="L1418" s="835"/>
      <c r="M1418" s="835"/>
      <c r="N1418" s="835"/>
      <c r="O1418" s="835"/>
      <c r="P1418" s="835"/>
      <c r="Q1418" s="540"/>
      <c r="R1418" s="540"/>
      <c r="S1418" s="540"/>
      <c r="T1418" s="540"/>
      <c r="U1418" s="540"/>
      <c r="V1418" s="540"/>
      <c r="W1418" s="540"/>
      <c r="X1418" s="540"/>
      <c r="Y1418" s="540"/>
      <c r="Z1418" s="540"/>
    </row>
    <row r="1419" spans="1:26" ht="19">
      <c r="A1419" s="631"/>
      <c r="B1419" s="631"/>
      <c r="C1419" s="631"/>
      <c r="D1419" s="832"/>
      <c r="E1419" s="631"/>
      <c r="F1419" s="631"/>
      <c r="G1419" s="631"/>
      <c r="H1419" s="833"/>
      <c r="I1419" s="834"/>
      <c r="J1419" s="834"/>
      <c r="K1419" s="835"/>
      <c r="L1419" s="835"/>
      <c r="M1419" s="835"/>
      <c r="N1419" s="835"/>
      <c r="O1419" s="835"/>
      <c r="P1419" s="835"/>
      <c r="Q1419" s="540"/>
      <c r="R1419" s="540"/>
      <c r="S1419" s="540"/>
      <c r="T1419" s="540"/>
      <c r="U1419" s="540"/>
      <c r="V1419" s="540"/>
      <c r="W1419" s="540"/>
      <c r="X1419" s="540"/>
      <c r="Y1419" s="540"/>
      <c r="Z1419" s="540"/>
    </row>
    <row r="1420" spans="1:26" ht="19">
      <c r="A1420" s="631"/>
      <c r="B1420" s="631"/>
      <c r="C1420" s="631"/>
      <c r="D1420" s="832"/>
      <c r="E1420" s="631"/>
      <c r="F1420" s="631"/>
      <c r="G1420" s="631"/>
      <c r="H1420" s="833"/>
      <c r="I1420" s="834"/>
      <c r="J1420" s="834"/>
      <c r="K1420" s="835"/>
      <c r="L1420" s="835"/>
      <c r="M1420" s="835"/>
      <c r="N1420" s="835"/>
      <c r="O1420" s="835"/>
      <c r="P1420" s="835"/>
      <c r="Q1420" s="540"/>
      <c r="R1420" s="540"/>
      <c r="S1420" s="540"/>
      <c r="T1420" s="540"/>
      <c r="U1420" s="540"/>
      <c r="V1420" s="540"/>
      <c r="W1420" s="540"/>
      <c r="X1420" s="540"/>
      <c r="Y1420" s="540"/>
      <c r="Z1420" s="540"/>
    </row>
    <row r="1421" spans="1:26" ht="19">
      <c r="A1421" s="631"/>
      <c r="B1421" s="631"/>
      <c r="C1421" s="631"/>
      <c r="D1421" s="832"/>
      <c r="E1421" s="631"/>
      <c r="F1421" s="631"/>
      <c r="G1421" s="631"/>
      <c r="H1421" s="833"/>
      <c r="I1421" s="834"/>
      <c r="J1421" s="834"/>
      <c r="K1421" s="835"/>
      <c r="L1421" s="835"/>
      <c r="M1421" s="835"/>
      <c r="N1421" s="835"/>
      <c r="O1421" s="835"/>
      <c r="P1421" s="835"/>
      <c r="Q1421" s="540"/>
      <c r="R1421" s="540"/>
      <c r="S1421" s="540"/>
      <c r="T1421" s="540"/>
      <c r="U1421" s="540"/>
      <c r="V1421" s="540"/>
      <c r="W1421" s="540"/>
      <c r="X1421" s="540"/>
      <c r="Y1421" s="540"/>
      <c r="Z1421" s="540"/>
    </row>
    <row r="1422" spans="1:26" ht="19">
      <c r="A1422" s="631"/>
      <c r="B1422" s="631"/>
      <c r="C1422" s="631"/>
      <c r="D1422" s="832"/>
      <c r="E1422" s="631"/>
      <c r="F1422" s="631"/>
      <c r="G1422" s="631"/>
      <c r="H1422" s="833"/>
      <c r="I1422" s="834"/>
      <c r="J1422" s="834"/>
      <c r="K1422" s="835"/>
      <c r="L1422" s="835"/>
      <c r="M1422" s="835"/>
      <c r="N1422" s="835"/>
      <c r="O1422" s="835"/>
      <c r="P1422" s="835"/>
      <c r="Q1422" s="540"/>
      <c r="R1422" s="540"/>
      <c r="S1422" s="540"/>
      <c r="T1422" s="540"/>
      <c r="U1422" s="540"/>
      <c r="V1422" s="540"/>
      <c r="W1422" s="540"/>
      <c r="X1422" s="540"/>
      <c r="Y1422" s="540"/>
      <c r="Z1422" s="540"/>
    </row>
    <row r="1423" spans="1:26" ht="19">
      <c r="A1423" s="631"/>
      <c r="B1423" s="631"/>
      <c r="C1423" s="631"/>
      <c r="D1423" s="832"/>
      <c r="E1423" s="631"/>
      <c r="F1423" s="631"/>
      <c r="G1423" s="631"/>
      <c r="H1423" s="833"/>
      <c r="I1423" s="834"/>
      <c r="J1423" s="834"/>
      <c r="K1423" s="835"/>
      <c r="L1423" s="835"/>
      <c r="M1423" s="835"/>
      <c r="N1423" s="835"/>
      <c r="O1423" s="835"/>
      <c r="P1423" s="835"/>
      <c r="Q1423" s="540"/>
      <c r="R1423" s="540"/>
      <c r="S1423" s="540"/>
      <c r="T1423" s="540"/>
      <c r="U1423" s="540"/>
      <c r="V1423" s="540"/>
      <c r="W1423" s="540"/>
      <c r="X1423" s="540"/>
      <c r="Y1423" s="540"/>
      <c r="Z1423" s="540"/>
    </row>
    <row r="1424" spans="1:26" ht="19">
      <c r="A1424" s="631"/>
      <c r="B1424" s="631"/>
      <c r="C1424" s="631"/>
      <c r="D1424" s="832"/>
      <c r="E1424" s="631"/>
      <c r="F1424" s="631"/>
      <c r="G1424" s="631"/>
      <c r="H1424" s="833"/>
      <c r="I1424" s="834"/>
      <c r="J1424" s="834"/>
      <c r="K1424" s="835"/>
      <c r="L1424" s="835"/>
      <c r="M1424" s="835"/>
      <c r="N1424" s="835"/>
      <c r="O1424" s="835"/>
      <c r="P1424" s="835"/>
      <c r="Q1424" s="540"/>
      <c r="R1424" s="540"/>
      <c r="S1424" s="540"/>
      <c r="T1424" s="540"/>
      <c r="U1424" s="540"/>
      <c r="V1424" s="540"/>
      <c r="W1424" s="540"/>
      <c r="X1424" s="540"/>
      <c r="Y1424" s="540"/>
      <c r="Z1424" s="540"/>
    </row>
    <row r="1425" spans="1:26" ht="19">
      <c r="A1425" s="631"/>
      <c r="B1425" s="631"/>
      <c r="C1425" s="631"/>
      <c r="D1425" s="832"/>
      <c r="E1425" s="631"/>
      <c r="F1425" s="631"/>
      <c r="G1425" s="631"/>
      <c r="H1425" s="833"/>
      <c r="I1425" s="834"/>
      <c r="J1425" s="834"/>
      <c r="K1425" s="835"/>
      <c r="L1425" s="835"/>
      <c r="M1425" s="835"/>
      <c r="N1425" s="835"/>
      <c r="O1425" s="835"/>
      <c r="P1425" s="835"/>
      <c r="Q1425" s="540"/>
      <c r="R1425" s="540"/>
      <c r="S1425" s="540"/>
      <c r="T1425" s="540"/>
      <c r="U1425" s="540"/>
      <c r="V1425" s="540"/>
      <c r="W1425" s="540"/>
      <c r="X1425" s="540"/>
      <c r="Y1425" s="540"/>
      <c r="Z1425" s="540"/>
    </row>
    <row r="1426" spans="1:26" ht="19">
      <c r="A1426" s="631"/>
      <c r="B1426" s="631"/>
      <c r="C1426" s="631"/>
      <c r="D1426" s="832"/>
      <c r="E1426" s="631"/>
      <c r="F1426" s="631"/>
      <c r="G1426" s="631"/>
      <c r="H1426" s="833"/>
      <c r="I1426" s="834"/>
      <c r="J1426" s="834"/>
      <c r="K1426" s="835"/>
      <c r="L1426" s="835"/>
      <c r="M1426" s="835"/>
      <c r="N1426" s="835"/>
      <c r="O1426" s="835"/>
      <c r="P1426" s="835"/>
      <c r="Q1426" s="540"/>
      <c r="R1426" s="540"/>
      <c r="S1426" s="540"/>
      <c r="T1426" s="540"/>
      <c r="U1426" s="540"/>
      <c r="V1426" s="540"/>
      <c r="W1426" s="540"/>
      <c r="X1426" s="540"/>
      <c r="Y1426" s="540"/>
      <c r="Z1426" s="540"/>
    </row>
    <row r="1427" spans="1:26" ht="19">
      <c r="A1427" s="631"/>
      <c r="B1427" s="631"/>
      <c r="C1427" s="631"/>
      <c r="D1427" s="832"/>
      <c r="E1427" s="631"/>
      <c r="F1427" s="631"/>
      <c r="G1427" s="631"/>
      <c r="H1427" s="833"/>
      <c r="I1427" s="834"/>
      <c r="J1427" s="834"/>
      <c r="K1427" s="835"/>
      <c r="L1427" s="835"/>
      <c r="M1427" s="835"/>
      <c r="N1427" s="835"/>
      <c r="O1427" s="835"/>
      <c r="P1427" s="835"/>
      <c r="Q1427" s="540"/>
      <c r="R1427" s="540"/>
      <c r="S1427" s="540"/>
      <c r="T1427" s="540"/>
      <c r="U1427" s="540"/>
      <c r="V1427" s="540"/>
      <c r="W1427" s="540"/>
      <c r="X1427" s="540"/>
      <c r="Y1427" s="540"/>
      <c r="Z1427" s="540"/>
    </row>
    <row r="1428" spans="1:26" ht="19">
      <c r="A1428" s="631"/>
      <c r="B1428" s="631"/>
      <c r="C1428" s="631"/>
      <c r="D1428" s="832"/>
      <c r="E1428" s="631"/>
      <c r="F1428" s="631"/>
      <c r="G1428" s="631"/>
      <c r="H1428" s="833"/>
      <c r="I1428" s="834"/>
      <c r="J1428" s="834"/>
      <c r="K1428" s="835"/>
      <c r="L1428" s="835"/>
      <c r="M1428" s="835"/>
      <c r="N1428" s="835"/>
      <c r="O1428" s="835"/>
      <c r="P1428" s="835"/>
      <c r="Q1428" s="540"/>
      <c r="R1428" s="540"/>
      <c r="S1428" s="540"/>
      <c r="T1428" s="540"/>
      <c r="U1428" s="540"/>
      <c r="V1428" s="540"/>
      <c r="W1428" s="540"/>
      <c r="X1428" s="540"/>
      <c r="Y1428" s="540"/>
      <c r="Z1428" s="540"/>
    </row>
    <row r="1429" spans="1:26" ht="19">
      <c r="A1429" s="631"/>
      <c r="B1429" s="631"/>
      <c r="C1429" s="631"/>
      <c r="D1429" s="832"/>
      <c r="E1429" s="631"/>
      <c r="F1429" s="631"/>
      <c r="G1429" s="631"/>
      <c r="H1429" s="833"/>
      <c r="I1429" s="834"/>
      <c r="J1429" s="834"/>
      <c r="K1429" s="835"/>
      <c r="L1429" s="835"/>
      <c r="M1429" s="835"/>
      <c r="N1429" s="835"/>
      <c r="O1429" s="835"/>
      <c r="P1429" s="835"/>
      <c r="Q1429" s="540"/>
      <c r="R1429" s="540"/>
      <c r="S1429" s="540"/>
      <c r="T1429" s="540"/>
      <c r="U1429" s="540"/>
      <c r="V1429" s="540"/>
      <c r="W1429" s="540"/>
      <c r="X1429" s="540"/>
      <c r="Y1429" s="540"/>
      <c r="Z1429" s="540"/>
    </row>
    <row r="1430" spans="1:26" ht="19">
      <c r="A1430" s="631"/>
      <c r="B1430" s="631"/>
      <c r="C1430" s="631"/>
      <c r="D1430" s="832"/>
      <c r="E1430" s="631"/>
      <c r="F1430" s="631"/>
      <c r="G1430" s="631"/>
      <c r="H1430" s="833"/>
      <c r="I1430" s="834"/>
      <c r="J1430" s="834"/>
      <c r="K1430" s="835"/>
      <c r="L1430" s="835"/>
      <c r="M1430" s="835"/>
      <c r="N1430" s="835"/>
      <c r="O1430" s="835"/>
      <c r="P1430" s="835"/>
      <c r="Q1430" s="540"/>
      <c r="R1430" s="540"/>
      <c r="S1430" s="540"/>
      <c r="T1430" s="540"/>
      <c r="U1430" s="540"/>
      <c r="V1430" s="540"/>
      <c r="W1430" s="540"/>
      <c r="X1430" s="540"/>
      <c r="Y1430" s="540"/>
      <c r="Z1430" s="540"/>
    </row>
    <row r="1431" spans="1:26" ht="19">
      <c r="A1431" s="631"/>
      <c r="B1431" s="631"/>
      <c r="C1431" s="631"/>
      <c r="D1431" s="832"/>
      <c r="E1431" s="631"/>
      <c r="F1431" s="631"/>
      <c r="G1431" s="631"/>
      <c r="H1431" s="833"/>
      <c r="I1431" s="834"/>
      <c r="J1431" s="834"/>
      <c r="K1431" s="835"/>
      <c r="L1431" s="835"/>
      <c r="M1431" s="835"/>
      <c r="N1431" s="835"/>
      <c r="O1431" s="835"/>
      <c r="P1431" s="835"/>
      <c r="Q1431" s="540"/>
      <c r="R1431" s="540"/>
      <c r="S1431" s="540"/>
      <c r="T1431" s="540"/>
      <c r="U1431" s="540"/>
      <c r="V1431" s="540"/>
      <c r="W1431" s="540"/>
      <c r="X1431" s="540"/>
      <c r="Y1431" s="540"/>
      <c r="Z1431" s="540"/>
    </row>
    <row r="1432" spans="1:26" ht="19">
      <c r="A1432" s="631"/>
      <c r="B1432" s="631"/>
      <c r="C1432" s="631"/>
      <c r="D1432" s="832"/>
      <c r="E1432" s="631"/>
      <c r="F1432" s="631"/>
      <c r="G1432" s="631"/>
      <c r="H1432" s="833"/>
      <c r="I1432" s="834"/>
      <c r="J1432" s="834"/>
      <c r="K1432" s="835"/>
      <c r="L1432" s="835"/>
      <c r="M1432" s="835"/>
      <c r="N1432" s="835"/>
      <c r="O1432" s="835"/>
      <c r="P1432" s="835"/>
      <c r="Q1432" s="540"/>
      <c r="R1432" s="540"/>
      <c r="S1432" s="540"/>
      <c r="T1432" s="540"/>
      <c r="U1432" s="540"/>
      <c r="V1432" s="540"/>
      <c r="W1432" s="540"/>
      <c r="X1432" s="540"/>
      <c r="Y1432" s="540"/>
      <c r="Z1432" s="540"/>
    </row>
    <row r="1433" spans="1:26" ht="19">
      <c r="A1433" s="631"/>
      <c r="B1433" s="631"/>
      <c r="C1433" s="631"/>
      <c r="D1433" s="832"/>
      <c r="E1433" s="631"/>
      <c r="F1433" s="631"/>
      <c r="G1433" s="631"/>
      <c r="H1433" s="833"/>
      <c r="I1433" s="834"/>
      <c r="J1433" s="834"/>
      <c r="K1433" s="835"/>
      <c r="L1433" s="835"/>
      <c r="M1433" s="835"/>
      <c r="N1433" s="835"/>
      <c r="O1433" s="835"/>
      <c r="P1433" s="835"/>
      <c r="Q1433" s="540"/>
      <c r="R1433" s="540"/>
      <c r="S1433" s="540"/>
      <c r="T1433" s="540"/>
      <c r="U1433" s="540"/>
      <c r="V1433" s="540"/>
      <c r="W1433" s="540"/>
      <c r="X1433" s="540"/>
      <c r="Y1433" s="540"/>
      <c r="Z1433" s="540"/>
    </row>
    <row r="1434" spans="1:26" ht="19">
      <c r="A1434" s="631"/>
      <c r="B1434" s="631"/>
      <c r="C1434" s="631"/>
      <c r="D1434" s="832"/>
      <c r="E1434" s="631"/>
      <c r="F1434" s="631"/>
      <c r="G1434" s="631"/>
      <c r="H1434" s="833"/>
      <c r="I1434" s="834"/>
      <c r="J1434" s="834"/>
      <c r="K1434" s="835"/>
      <c r="L1434" s="835"/>
      <c r="M1434" s="835"/>
      <c r="N1434" s="835"/>
      <c r="O1434" s="835"/>
      <c r="P1434" s="835"/>
      <c r="Q1434" s="540"/>
      <c r="R1434" s="540"/>
      <c r="S1434" s="540"/>
      <c r="T1434" s="540"/>
      <c r="U1434" s="540"/>
      <c r="V1434" s="540"/>
      <c r="W1434" s="540"/>
      <c r="X1434" s="540"/>
      <c r="Y1434" s="540"/>
      <c r="Z1434" s="540"/>
    </row>
    <row r="1435" spans="1:26" ht="19">
      <c r="A1435" s="631"/>
      <c r="B1435" s="631"/>
      <c r="C1435" s="631"/>
      <c r="D1435" s="832"/>
      <c r="E1435" s="631"/>
      <c r="F1435" s="631"/>
      <c r="G1435" s="631"/>
      <c r="H1435" s="833"/>
      <c r="I1435" s="834"/>
      <c r="J1435" s="834"/>
      <c r="K1435" s="835"/>
      <c r="L1435" s="835"/>
      <c r="M1435" s="835"/>
      <c r="N1435" s="835"/>
      <c r="O1435" s="835"/>
      <c r="P1435" s="835"/>
      <c r="Q1435" s="540"/>
      <c r="R1435" s="540"/>
      <c r="S1435" s="540"/>
      <c r="T1435" s="540"/>
      <c r="U1435" s="540"/>
      <c r="V1435" s="540"/>
      <c r="W1435" s="540"/>
      <c r="X1435" s="540"/>
      <c r="Y1435" s="540"/>
      <c r="Z1435" s="540"/>
    </row>
    <row r="1436" spans="1:26" ht="19">
      <c r="A1436" s="631"/>
      <c r="B1436" s="631"/>
      <c r="C1436" s="631"/>
      <c r="D1436" s="832"/>
      <c r="E1436" s="631"/>
      <c r="F1436" s="631"/>
      <c r="G1436" s="631"/>
      <c r="H1436" s="833"/>
      <c r="I1436" s="834"/>
      <c r="J1436" s="834"/>
      <c r="K1436" s="835"/>
      <c r="L1436" s="835"/>
      <c r="M1436" s="835"/>
      <c r="N1436" s="835"/>
      <c r="O1436" s="835"/>
      <c r="P1436" s="835"/>
      <c r="Q1436" s="540"/>
      <c r="R1436" s="540"/>
      <c r="S1436" s="540"/>
      <c r="T1436" s="540"/>
      <c r="U1436" s="540"/>
      <c r="V1436" s="540"/>
      <c r="W1436" s="540"/>
      <c r="X1436" s="540"/>
      <c r="Y1436" s="540"/>
      <c r="Z1436" s="540"/>
    </row>
    <row r="1437" spans="1:26" ht="19">
      <c r="A1437" s="631"/>
      <c r="B1437" s="631"/>
      <c r="C1437" s="631"/>
      <c r="D1437" s="832"/>
      <c r="E1437" s="631"/>
      <c r="F1437" s="631"/>
      <c r="G1437" s="631"/>
      <c r="H1437" s="833"/>
      <c r="I1437" s="834"/>
      <c r="J1437" s="834"/>
      <c r="K1437" s="835"/>
      <c r="L1437" s="835"/>
      <c r="M1437" s="835"/>
      <c r="N1437" s="835"/>
      <c r="O1437" s="835"/>
      <c r="P1437" s="835"/>
      <c r="Q1437" s="540"/>
      <c r="R1437" s="540"/>
      <c r="S1437" s="540"/>
      <c r="T1437" s="540"/>
      <c r="U1437" s="540"/>
      <c r="V1437" s="540"/>
      <c r="W1437" s="540"/>
      <c r="X1437" s="540"/>
      <c r="Y1437" s="540"/>
      <c r="Z1437" s="540"/>
    </row>
    <row r="1438" spans="1:26" ht="19">
      <c r="A1438" s="631"/>
      <c r="B1438" s="631"/>
      <c r="C1438" s="631"/>
      <c r="D1438" s="832"/>
      <c r="E1438" s="631"/>
      <c r="F1438" s="631"/>
      <c r="G1438" s="631"/>
      <c r="H1438" s="833"/>
      <c r="I1438" s="834"/>
      <c r="J1438" s="834"/>
      <c r="K1438" s="835"/>
      <c r="L1438" s="835"/>
      <c r="M1438" s="835"/>
      <c r="N1438" s="835"/>
      <c r="O1438" s="835"/>
      <c r="P1438" s="835"/>
      <c r="Q1438" s="540"/>
      <c r="R1438" s="540"/>
      <c r="S1438" s="540"/>
      <c r="T1438" s="540"/>
      <c r="U1438" s="540"/>
      <c r="V1438" s="540"/>
      <c r="W1438" s="540"/>
      <c r="X1438" s="540"/>
      <c r="Y1438" s="540"/>
      <c r="Z1438" s="540"/>
    </row>
    <row r="1439" spans="1:26" ht="19">
      <c r="A1439" s="631"/>
      <c r="B1439" s="631"/>
      <c r="C1439" s="631"/>
      <c r="D1439" s="832"/>
      <c r="E1439" s="631"/>
      <c r="F1439" s="631"/>
      <c r="G1439" s="631"/>
      <c r="H1439" s="833"/>
      <c r="I1439" s="834"/>
      <c r="J1439" s="834"/>
      <c r="K1439" s="835"/>
      <c r="L1439" s="835"/>
      <c r="M1439" s="835"/>
      <c r="N1439" s="835"/>
      <c r="O1439" s="835"/>
      <c r="P1439" s="835"/>
      <c r="Q1439" s="540"/>
      <c r="R1439" s="540"/>
      <c r="S1439" s="540"/>
      <c r="T1439" s="540"/>
      <c r="U1439" s="540"/>
      <c r="V1439" s="540"/>
      <c r="W1439" s="540"/>
      <c r="X1439" s="540"/>
      <c r="Y1439" s="540"/>
      <c r="Z1439" s="540"/>
    </row>
    <row r="1440" spans="1:26" ht="19">
      <c r="A1440" s="631"/>
      <c r="B1440" s="631"/>
      <c r="C1440" s="631"/>
      <c r="D1440" s="832"/>
      <c r="E1440" s="631"/>
      <c r="F1440" s="631"/>
      <c r="G1440" s="631"/>
      <c r="H1440" s="833"/>
      <c r="I1440" s="834"/>
      <c r="J1440" s="834"/>
      <c r="K1440" s="835"/>
      <c r="L1440" s="835"/>
      <c r="M1440" s="835"/>
      <c r="N1440" s="835"/>
      <c r="O1440" s="835"/>
      <c r="P1440" s="835"/>
      <c r="Q1440" s="540"/>
      <c r="R1440" s="540"/>
      <c r="S1440" s="540"/>
      <c r="T1440" s="540"/>
      <c r="U1440" s="540"/>
      <c r="V1440" s="540"/>
      <c r="W1440" s="540"/>
      <c r="X1440" s="540"/>
      <c r="Y1440" s="540"/>
      <c r="Z1440" s="540"/>
    </row>
    <row r="1441" spans="1:26" ht="19">
      <c r="A1441" s="631"/>
      <c r="B1441" s="631"/>
      <c r="C1441" s="631"/>
      <c r="D1441" s="832"/>
      <c r="E1441" s="631"/>
      <c r="F1441" s="631"/>
      <c r="G1441" s="631"/>
      <c r="H1441" s="833"/>
      <c r="I1441" s="834"/>
      <c r="J1441" s="834"/>
      <c r="K1441" s="835"/>
      <c r="L1441" s="835"/>
      <c r="M1441" s="835"/>
      <c r="N1441" s="835"/>
      <c r="O1441" s="835"/>
      <c r="P1441" s="835"/>
      <c r="Q1441" s="540"/>
      <c r="R1441" s="540"/>
      <c r="S1441" s="540"/>
      <c r="T1441" s="540"/>
      <c r="U1441" s="540"/>
      <c r="V1441" s="540"/>
      <c r="W1441" s="540"/>
      <c r="X1441" s="540"/>
      <c r="Y1441" s="540"/>
      <c r="Z1441" s="540"/>
    </row>
    <row r="1442" spans="1:26" ht="19">
      <c r="A1442" s="631"/>
      <c r="B1442" s="631"/>
      <c r="C1442" s="631"/>
      <c r="D1442" s="832"/>
      <c r="E1442" s="631"/>
      <c r="F1442" s="631"/>
      <c r="G1442" s="631"/>
      <c r="H1442" s="833"/>
      <c r="I1442" s="834"/>
      <c r="J1442" s="834"/>
      <c r="K1442" s="835"/>
      <c r="L1442" s="835"/>
      <c r="M1442" s="835"/>
      <c r="N1442" s="835"/>
      <c r="O1442" s="835"/>
      <c r="P1442" s="835"/>
      <c r="Q1442" s="540"/>
      <c r="R1442" s="540"/>
      <c r="S1442" s="540"/>
      <c r="T1442" s="540"/>
      <c r="U1442" s="540"/>
      <c r="V1442" s="540"/>
      <c r="W1442" s="540"/>
      <c r="X1442" s="540"/>
      <c r="Y1442" s="540"/>
      <c r="Z1442" s="540"/>
    </row>
    <row r="1443" spans="1:26" ht="19">
      <c r="A1443" s="631"/>
      <c r="B1443" s="631"/>
      <c r="C1443" s="631"/>
      <c r="D1443" s="832"/>
      <c r="E1443" s="631"/>
      <c r="F1443" s="631"/>
      <c r="G1443" s="631"/>
      <c r="H1443" s="833"/>
      <c r="I1443" s="834"/>
      <c r="J1443" s="834"/>
      <c r="K1443" s="835"/>
      <c r="L1443" s="835"/>
      <c r="M1443" s="835"/>
      <c r="N1443" s="835"/>
      <c r="O1443" s="835"/>
      <c r="P1443" s="835"/>
      <c r="Q1443" s="540"/>
      <c r="R1443" s="540"/>
      <c r="S1443" s="540"/>
      <c r="T1443" s="540"/>
      <c r="U1443" s="540"/>
      <c r="V1443" s="540"/>
      <c r="W1443" s="540"/>
      <c r="X1443" s="540"/>
      <c r="Y1443" s="540"/>
      <c r="Z1443" s="540"/>
    </row>
    <row r="1444" spans="1:26" ht="19">
      <c r="A1444" s="631"/>
      <c r="B1444" s="631"/>
      <c r="C1444" s="631"/>
      <c r="D1444" s="832"/>
      <c r="E1444" s="631"/>
      <c r="F1444" s="631"/>
      <c r="G1444" s="631"/>
      <c r="H1444" s="833"/>
      <c r="I1444" s="834"/>
      <c r="J1444" s="834"/>
      <c r="K1444" s="835"/>
      <c r="L1444" s="835"/>
      <c r="M1444" s="835"/>
      <c r="N1444" s="835"/>
      <c r="O1444" s="835"/>
      <c r="P1444" s="835"/>
      <c r="Q1444" s="540"/>
      <c r="R1444" s="540"/>
      <c r="S1444" s="540"/>
      <c r="T1444" s="540"/>
      <c r="U1444" s="540"/>
      <c r="V1444" s="540"/>
      <c r="W1444" s="540"/>
      <c r="X1444" s="540"/>
      <c r="Y1444" s="540"/>
      <c r="Z1444" s="540"/>
    </row>
    <row r="1445" spans="1:26" ht="19">
      <c r="A1445" s="631"/>
      <c r="B1445" s="631"/>
      <c r="C1445" s="631"/>
      <c r="D1445" s="832"/>
      <c r="E1445" s="631"/>
      <c r="F1445" s="631"/>
      <c r="G1445" s="631"/>
      <c r="H1445" s="833"/>
      <c r="I1445" s="834"/>
      <c r="J1445" s="834"/>
      <c r="K1445" s="835"/>
      <c r="L1445" s="835"/>
      <c r="M1445" s="835"/>
      <c r="N1445" s="835"/>
      <c r="O1445" s="835"/>
      <c r="P1445" s="835"/>
      <c r="Q1445" s="540"/>
      <c r="R1445" s="540"/>
      <c r="S1445" s="540"/>
      <c r="T1445" s="540"/>
      <c r="U1445" s="540"/>
      <c r="V1445" s="540"/>
      <c r="W1445" s="540"/>
      <c r="X1445" s="540"/>
      <c r="Y1445" s="540"/>
      <c r="Z1445" s="540"/>
    </row>
    <row r="1446" spans="1:26" ht="19">
      <c r="A1446" s="631"/>
      <c r="B1446" s="631"/>
      <c r="C1446" s="631"/>
      <c r="D1446" s="832"/>
      <c r="E1446" s="631"/>
      <c r="F1446" s="631"/>
      <c r="G1446" s="631"/>
      <c r="H1446" s="833"/>
      <c r="I1446" s="834"/>
      <c r="J1446" s="834"/>
      <c r="K1446" s="835"/>
      <c r="L1446" s="835"/>
      <c r="M1446" s="835"/>
      <c r="N1446" s="835"/>
      <c r="O1446" s="835"/>
      <c r="P1446" s="835"/>
      <c r="Q1446" s="540"/>
      <c r="R1446" s="540"/>
      <c r="S1446" s="540"/>
      <c r="T1446" s="540"/>
      <c r="U1446" s="540"/>
      <c r="V1446" s="540"/>
      <c r="W1446" s="540"/>
      <c r="X1446" s="540"/>
      <c r="Y1446" s="540"/>
      <c r="Z1446" s="540"/>
    </row>
    <row r="1447" spans="1:26" ht="19">
      <c r="A1447" s="631"/>
      <c r="B1447" s="631"/>
      <c r="C1447" s="631"/>
      <c r="D1447" s="832"/>
      <c r="E1447" s="631"/>
      <c r="F1447" s="631"/>
      <c r="G1447" s="631"/>
      <c r="H1447" s="833"/>
      <c r="I1447" s="834"/>
      <c r="J1447" s="834"/>
      <c r="K1447" s="835"/>
      <c r="L1447" s="835"/>
      <c r="M1447" s="835"/>
      <c r="N1447" s="835"/>
      <c r="O1447" s="835"/>
      <c r="P1447" s="835"/>
      <c r="Q1447" s="540"/>
      <c r="R1447" s="540"/>
      <c r="S1447" s="540"/>
      <c r="T1447" s="540"/>
      <c r="U1447" s="540"/>
      <c r="V1447" s="540"/>
      <c r="W1447" s="540"/>
      <c r="X1447" s="540"/>
      <c r="Y1447" s="540"/>
      <c r="Z1447" s="540"/>
    </row>
    <row r="1448" spans="1:26" ht="19">
      <c r="A1448" s="631"/>
      <c r="B1448" s="631"/>
      <c r="C1448" s="631"/>
      <c r="D1448" s="832"/>
      <c r="E1448" s="631"/>
      <c r="F1448" s="631"/>
      <c r="G1448" s="631"/>
      <c r="H1448" s="833"/>
      <c r="I1448" s="834"/>
      <c r="J1448" s="834"/>
      <c r="K1448" s="835"/>
      <c r="L1448" s="835"/>
      <c r="M1448" s="835"/>
      <c r="N1448" s="835"/>
      <c r="O1448" s="835"/>
      <c r="P1448" s="835"/>
      <c r="Q1448" s="540"/>
      <c r="R1448" s="540"/>
      <c r="S1448" s="540"/>
      <c r="T1448" s="540"/>
      <c r="U1448" s="540"/>
      <c r="V1448" s="540"/>
      <c r="W1448" s="540"/>
      <c r="X1448" s="540"/>
      <c r="Y1448" s="540"/>
      <c r="Z1448" s="540"/>
    </row>
    <row r="1449" spans="1:26" ht="19">
      <c r="A1449" s="631"/>
      <c r="B1449" s="631"/>
      <c r="C1449" s="631"/>
      <c r="D1449" s="832"/>
      <c r="E1449" s="631"/>
      <c r="F1449" s="631"/>
      <c r="G1449" s="631"/>
      <c r="H1449" s="833"/>
      <c r="I1449" s="834"/>
      <c r="J1449" s="834"/>
      <c r="K1449" s="835"/>
      <c r="L1449" s="835"/>
      <c r="M1449" s="835"/>
      <c r="N1449" s="835"/>
      <c r="O1449" s="835"/>
      <c r="P1449" s="835"/>
      <c r="Q1449" s="540"/>
      <c r="R1449" s="540"/>
      <c r="S1449" s="540"/>
      <c r="T1449" s="540"/>
      <c r="U1449" s="540"/>
      <c r="V1449" s="540"/>
      <c r="W1449" s="540"/>
      <c r="X1449" s="540"/>
      <c r="Y1449" s="540"/>
      <c r="Z1449" s="540"/>
    </row>
    <row r="1450" spans="1:26" ht="19">
      <c r="A1450" s="631"/>
      <c r="B1450" s="631"/>
      <c r="C1450" s="631"/>
      <c r="D1450" s="832"/>
      <c r="E1450" s="631"/>
      <c r="F1450" s="631"/>
      <c r="G1450" s="631"/>
      <c r="H1450" s="833"/>
      <c r="I1450" s="834"/>
      <c r="J1450" s="834"/>
      <c r="K1450" s="835"/>
      <c r="L1450" s="835"/>
      <c r="M1450" s="835"/>
      <c r="N1450" s="835"/>
      <c r="O1450" s="835"/>
      <c r="P1450" s="835"/>
      <c r="Q1450" s="540"/>
      <c r="R1450" s="540"/>
      <c r="S1450" s="540"/>
      <c r="T1450" s="540"/>
      <c r="U1450" s="540"/>
      <c r="V1450" s="540"/>
      <c r="W1450" s="540"/>
      <c r="X1450" s="540"/>
      <c r="Y1450" s="540"/>
      <c r="Z1450" s="540"/>
    </row>
    <row r="1451" spans="1:26" ht="19">
      <c r="A1451" s="631"/>
      <c r="B1451" s="631"/>
      <c r="C1451" s="631"/>
      <c r="D1451" s="832"/>
      <c r="E1451" s="631"/>
      <c r="F1451" s="631"/>
      <c r="G1451" s="631"/>
      <c r="H1451" s="833"/>
      <c r="I1451" s="834"/>
      <c r="J1451" s="834"/>
      <c r="K1451" s="835"/>
      <c r="L1451" s="835"/>
      <c r="M1451" s="835"/>
      <c r="N1451" s="835"/>
      <c r="O1451" s="835"/>
      <c r="P1451" s="835"/>
      <c r="Q1451" s="540"/>
      <c r="R1451" s="540"/>
      <c r="S1451" s="540"/>
      <c r="T1451" s="540"/>
      <c r="U1451" s="540"/>
      <c r="V1451" s="540"/>
      <c r="W1451" s="540"/>
      <c r="X1451" s="540"/>
      <c r="Y1451" s="540"/>
      <c r="Z1451" s="540"/>
    </row>
    <row r="1452" spans="1:26" ht="19">
      <c r="A1452" s="631"/>
      <c r="B1452" s="631"/>
      <c r="C1452" s="631"/>
      <c r="D1452" s="832"/>
      <c r="E1452" s="631"/>
      <c r="F1452" s="631"/>
      <c r="G1452" s="631"/>
      <c r="H1452" s="833"/>
      <c r="I1452" s="834"/>
      <c r="J1452" s="834"/>
      <c r="K1452" s="835"/>
      <c r="L1452" s="835"/>
      <c r="M1452" s="835"/>
      <c r="N1452" s="835"/>
      <c r="O1452" s="835"/>
      <c r="P1452" s="835"/>
      <c r="Q1452" s="540"/>
      <c r="R1452" s="540"/>
      <c r="S1452" s="540"/>
      <c r="T1452" s="540"/>
      <c r="U1452" s="540"/>
      <c r="V1452" s="540"/>
      <c r="W1452" s="540"/>
      <c r="X1452" s="540"/>
      <c r="Y1452" s="540"/>
      <c r="Z1452" s="540"/>
    </row>
    <row r="1453" spans="1:26" ht="19">
      <c r="A1453" s="631"/>
      <c r="B1453" s="631"/>
      <c r="C1453" s="631"/>
      <c r="D1453" s="832"/>
      <c r="E1453" s="631"/>
      <c r="F1453" s="631"/>
      <c r="G1453" s="631"/>
      <c r="H1453" s="833"/>
      <c r="I1453" s="834"/>
      <c r="J1453" s="834"/>
      <c r="K1453" s="835"/>
      <c r="L1453" s="835"/>
      <c r="M1453" s="835"/>
      <c r="N1453" s="835"/>
      <c r="O1453" s="835"/>
      <c r="P1453" s="835"/>
      <c r="Q1453" s="540"/>
      <c r="R1453" s="540"/>
      <c r="S1453" s="540"/>
      <c r="T1453" s="540"/>
      <c r="U1453" s="540"/>
      <c r="V1453" s="540"/>
      <c r="W1453" s="540"/>
      <c r="X1453" s="540"/>
      <c r="Y1453" s="540"/>
      <c r="Z1453" s="540"/>
    </row>
    <row r="1454" spans="1:26" ht="19">
      <c r="A1454" s="631"/>
      <c r="B1454" s="631"/>
      <c r="C1454" s="631"/>
      <c r="D1454" s="832"/>
      <c r="E1454" s="631"/>
      <c r="F1454" s="631"/>
      <c r="G1454" s="631"/>
      <c r="H1454" s="833"/>
      <c r="I1454" s="834"/>
      <c r="J1454" s="834"/>
      <c r="K1454" s="835"/>
      <c r="L1454" s="835"/>
      <c r="M1454" s="835"/>
      <c r="N1454" s="835"/>
      <c r="O1454" s="835"/>
      <c r="P1454" s="835"/>
      <c r="Q1454" s="540"/>
      <c r="R1454" s="540"/>
      <c r="S1454" s="540"/>
      <c r="T1454" s="540"/>
      <c r="U1454" s="540"/>
      <c r="V1454" s="540"/>
      <c r="W1454" s="540"/>
      <c r="X1454" s="540"/>
      <c r="Y1454" s="540"/>
      <c r="Z1454" s="540"/>
    </row>
    <row r="1455" spans="1:26" ht="19">
      <c r="A1455" s="631"/>
      <c r="B1455" s="631"/>
      <c r="C1455" s="631"/>
      <c r="D1455" s="832"/>
      <c r="E1455" s="631"/>
      <c r="F1455" s="631"/>
      <c r="G1455" s="631"/>
      <c r="H1455" s="833"/>
      <c r="I1455" s="834"/>
      <c r="J1455" s="834"/>
      <c r="K1455" s="835"/>
      <c r="L1455" s="835"/>
      <c r="M1455" s="835"/>
      <c r="N1455" s="835"/>
      <c r="O1455" s="835"/>
      <c r="P1455" s="835"/>
      <c r="Q1455" s="540"/>
      <c r="R1455" s="540"/>
      <c r="S1455" s="540"/>
      <c r="T1455" s="540"/>
      <c r="U1455" s="540"/>
      <c r="V1455" s="540"/>
      <c r="W1455" s="540"/>
      <c r="X1455" s="540"/>
      <c r="Y1455" s="540"/>
      <c r="Z1455" s="540"/>
    </row>
    <row r="1456" spans="1:26" ht="19">
      <c r="A1456" s="631"/>
      <c r="B1456" s="631"/>
      <c r="C1456" s="631"/>
      <c r="D1456" s="832"/>
      <c r="E1456" s="631"/>
      <c r="F1456" s="631"/>
      <c r="G1456" s="631"/>
      <c r="H1456" s="833"/>
      <c r="I1456" s="834"/>
      <c r="J1456" s="834"/>
      <c r="K1456" s="835"/>
      <c r="L1456" s="835"/>
      <c r="M1456" s="835"/>
      <c r="N1456" s="835"/>
      <c r="O1456" s="835"/>
      <c r="P1456" s="835"/>
      <c r="Q1456" s="540"/>
      <c r="R1456" s="540"/>
      <c r="S1456" s="540"/>
      <c r="T1456" s="540"/>
      <c r="U1456" s="540"/>
      <c r="V1456" s="540"/>
      <c r="W1456" s="540"/>
      <c r="X1456" s="540"/>
      <c r="Y1456" s="540"/>
      <c r="Z1456" s="540"/>
    </row>
    <row r="1457" spans="1:26" ht="19">
      <c r="A1457" s="631"/>
      <c r="B1457" s="631"/>
      <c r="C1457" s="631"/>
      <c r="D1457" s="832"/>
      <c r="E1457" s="631"/>
      <c r="F1457" s="631"/>
      <c r="G1457" s="631"/>
      <c r="H1457" s="833"/>
      <c r="I1457" s="834"/>
      <c r="J1457" s="834"/>
      <c r="K1457" s="835"/>
      <c r="L1457" s="835"/>
      <c r="M1457" s="835"/>
      <c r="N1457" s="835"/>
      <c r="O1457" s="835"/>
      <c r="P1457" s="835"/>
      <c r="Q1457" s="540"/>
      <c r="R1457" s="540"/>
      <c r="S1457" s="540"/>
      <c r="T1457" s="540"/>
      <c r="U1457" s="540"/>
      <c r="V1457" s="540"/>
      <c r="W1457" s="540"/>
      <c r="X1457" s="540"/>
      <c r="Y1457" s="540"/>
      <c r="Z1457" s="540"/>
    </row>
    <row r="1458" spans="1:26" ht="19">
      <c r="A1458" s="631"/>
      <c r="B1458" s="631"/>
      <c r="C1458" s="631"/>
      <c r="D1458" s="832"/>
      <c r="E1458" s="631"/>
      <c r="F1458" s="631"/>
      <c r="G1458" s="631"/>
      <c r="H1458" s="833"/>
      <c r="I1458" s="834"/>
      <c r="J1458" s="834"/>
      <c r="K1458" s="835"/>
      <c r="L1458" s="835"/>
      <c r="M1458" s="835"/>
      <c r="N1458" s="835"/>
      <c r="O1458" s="835"/>
      <c r="P1458" s="835"/>
      <c r="Q1458" s="540"/>
      <c r="R1458" s="540"/>
      <c r="S1458" s="540"/>
      <c r="T1458" s="540"/>
      <c r="U1458" s="540"/>
      <c r="V1458" s="540"/>
      <c r="W1458" s="540"/>
      <c r="X1458" s="540"/>
      <c r="Y1458" s="540"/>
      <c r="Z1458" s="540"/>
    </row>
    <row r="1459" spans="1:26" ht="19">
      <c r="A1459" s="631"/>
      <c r="B1459" s="631"/>
      <c r="C1459" s="631"/>
      <c r="D1459" s="832"/>
      <c r="E1459" s="631"/>
      <c r="F1459" s="631"/>
      <c r="G1459" s="631"/>
      <c r="H1459" s="833"/>
      <c r="I1459" s="834"/>
      <c r="J1459" s="834"/>
      <c r="K1459" s="835"/>
      <c r="L1459" s="835"/>
      <c r="M1459" s="835"/>
      <c r="N1459" s="835"/>
      <c r="O1459" s="835"/>
      <c r="P1459" s="835"/>
      <c r="Q1459" s="540"/>
      <c r="R1459" s="540"/>
      <c r="S1459" s="540"/>
      <c r="T1459" s="540"/>
      <c r="U1459" s="540"/>
      <c r="V1459" s="540"/>
      <c r="W1459" s="540"/>
      <c r="X1459" s="540"/>
      <c r="Y1459" s="540"/>
      <c r="Z1459" s="540"/>
    </row>
    <row r="1460" spans="1:26" ht="19">
      <c r="A1460" s="631"/>
      <c r="B1460" s="631"/>
      <c r="C1460" s="631"/>
      <c r="D1460" s="832"/>
      <c r="E1460" s="631"/>
      <c r="F1460" s="631"/>
      <c r="G1460" s="631"/>
      <c r="H1460" s="833"/>
      <c r="I1460" s="834"/>
      <c r="J1460" s="834"/>
      <c r="K1460" s="835"/>
      <c r="L1460" s="835"/>
      <c r="M1460" s="835"/>
      <c r="N1460" s="835"/>
      <c r="O1460" s="835"/>
      <c r="P1460" s="835"/>
      <c r="Q1460" s="540"/>
      <c r="R1460" s="540"/>
      <c r="S1460" s="540"/>
      <c r="T1460" s="540"/>
      <c r="U1460" s="540"/>
      <c r="V1460" s="540"/>
      <c r="W1460" s="540"/>
      <c r="X1460" s="540"/>
      <c r="Y1460" s="540"/>
      <c r="Z1460" s="540"/>
    </row>
    <row r="1461" spans="1:26" ht="19">
      <c r="A1461" s="631"/>
      <c r="B1461" s="631"/>
      <c r="C1461" s="631"/>
      <c r="D1461" s="832"/>
      <c r="E1461" s="631"/>
      <c r="F1461" s="631"/>
      <c r="G1461" s="631"/>
      <c r="H1461" s="833"/>
      <c r="I1461" s="834"/>
      <c r="J1461" s="834"/>
      <c r="K1461" s="835"/>
      <c r="L1461" s="835"/>
      <c r="M1461" s="835"/>
      <c r="N1461" s="835"/>
      <c r="O1461" s="835"/>
      <c r="P1461" s="835"/>
      <c r="Q1461" s="540"/>
      <c r="R1461" s="540"/>
      <c r="S1461" s="540"/>
      <c r="T1461" s="540"/>
      <c r="U1461" s="540"/>
      <c r="V1461" s="540"/>
      <c r="W1461" s="540"/>
      <c r="X1461" s="540"/>
      <c r="Y1461" s="540"/>
      <c r="Z1461" s="540"/>
    </row>
    <row r="1462" spans="1:26" ht="19">
      <c r="A1462" s="631"/>
      <c r="B1462" s="631"/>
      <c r="C1462" s="631"/>
      <c r="D1462" s="832"/>
      <c r="E1462" s="631"/>
      <c r="F1462" s="631"/>
      <c r="G1462" s="631"/>
      <c r="H1462" s="833"/>
      <c r="I1462" s="834"/>
      <c r="J1462" s="834"/>
      <c r="K1462" s="835"/>
      <c r="L1462" s="835"/>
      <c r="M1462" s="835"/>
      <c r="N1462" s="835"/>
      <c r="O1462" s="835"/>
      <c r="P1462" s="835"/>
      <c r="Q1462" s="540"/>
      <c r="R1462" s="540"/>
      <c r="S1462" s="540"/>
      <c r="T1462" s="540"/>
      <c r="U1462" s="540"/>
      <c r="V1462" s="540"/>
      <c r="W1462" s="540"/>
      <c r="X1462" s="540"/>
      <c r="Y1462" s="540"/>
      <c r="Z1462" s="540"/>
    </row>
    <row r="1463" spans="1:26" ht="19">
      <c r="A1463" s="631"/>
      <c r="B1463" s="631"/>
      <c r="C1463" s="631"/>
      <c r="D1463" s="832"/>
      <c r="E1463" s="631"/>
      <c r="F1463" s="631"/>
      <c r="G1463" s="631"/>
      <c r="H1463" s="833"/>
      <c r="I1463" s="834"/>
      <c r="J1463" s="834"/>
      <c r="K1463" s="835"/>
      <c r="L1463" s="835"/>
      <c r="M1463" s="835"/>
      <c r="N1463" s="835"/>
      <c r="O1463" s="835"/>
      <c r="P1463" s="835"/>
      <c r="Q1463" s="540"/>
      <c r="R1463" s="540"/>
      <c r="S1463" s="540"/>
      <c r="T1463" s="540"/>
      <c r="U1463" s="540"/>
      <c r="V1463" s="540"/>
      <c r="W1463" s="540"/>
      <c r="X1463" s="540"/>
      <c r="Y1463" s="540"/>
      <c r="Z1463" s="540"/>
    </row>
    <row r="1464" spans="1:26" ht="19">
      <c r="A1464" s="631"/>
      <c r="B1464" s="631"/>
      <c r="C1464" s="631"/>
      <c r="D1464" s="832"/>
      <c r="E1464" s="631"/>
      <c r="F1464" s="631"/>
      <c r="G1464" s="631"/>
      <c r="H1464" s="833"/>
      <c r="I1464" s="834"/>
      <c r="J1464" s="834"/>
      <c r="K1464" s="835"/>
      <c r="L1464" s="835"/>
      <c r="M1464" s="835"/>
      <c r="N1464" s="835"/>
      <c r="O1464" s="835"/>
      <c r="P1464" s="835"/>
      <c r="Q1464" s="540"/>
      <c r="R1464" s="540"/>
      <c r="S1464" s="540"/>
      <c r="T1464" s="540"/>
      <c r="U1464" s="540"/>
      <c r="V1464" s="540"/>
      <c r="W1464" s="540"/>
      <c r="X1464" s="540"/>
      <c r="Y1464" s="540"/>
      <c r="Z1464" s="540"/>
    </row>
    <row r="1465" spans="1:26" ht="19">
      <c r="A1465" s="631"/>
      <c r="B1465" s="631"/>
      <c r="C1465" s="631"/>
      <c r="D1465" s="832"/>
      <c r="E1465" s="631"/>
      <c r="F1465" s="631"/>
      <c r="G1465" s="631"/>
      <c r="H1465" s="833"/>
      <c r="I1465" s="834"/>
      <c r="J1465" s="834"/>
      <c r="K1465" s="835"/>
      <c r="L1465" s="835"/>
      <c r="M1465" s="835"/>
      <c r="N1465" s="835"/>
      <c r="O1465" s="835"/>
      <c r="P1465" s="835"/>
      <c r="Q1465" s="540"/>
      <c r="R1465" s="540"/>
      <c r="S1465" s="540"/>
      <c r="T1465" s="540"/>
      <c r="U1465" s="540"/>
      <c r="V1465" s="540"/>
      <c r="W1465" s="540"/>
      <c r="X1465" s="540"/>
      <c r="Y1465" s="540"/>
      <c r="Z1465" s="540"/>
    </row>
    <row r="1466" spans="1:26" ht="19">
      <c r="A1466" s="631"/>
      <c r="B1466" s="631"/>
      <c r="C1466" s="631"/>
      <c r="D1466" s="832"/>
      <c r="E1466" s="631"/>
      <c r="F1466" s="631"/>
      <c r="G1466" s="631"/>
      <c r="H1466" s="833"/>
      <c r="I1466" s="834"/>
      <c r="J1466" s="834"/>
      <c r="K1466" s="835"/>
      <c r="L1466" s="835"/>
      <c r="M1466" s="835"/>
      <c r="N1466" s="835"/>
      <c r="O1466" s="835"/>
      <c r="P1466" s="835"/>
      <c r="Q1466" s="540"/>
      <c r="R1466" s="540"/>
      <c r="S1466" s="540"/>
      <c r="T1466" s="540"/>
      <c r="U1466" s="540"/>
      <c r="V1466" s="540"/>
      <c r="W1466" s="540"/>
      <c r="X1466" s="540"/>
      <c r="Y1466" s="540"/>
      <c r="Z1466" s="540"/>
    </row>
    <row r="1467" spans="1:26" ht="19">
      <c r="A1467" s="631"/>
      <c r="B1467" s="631"/>
      <c r="C1467" s="631"/>
      <c r="D1467" s="832"/>
      <c r="E1467" s="631"/>
      <c r="F1467" s="631"/>
      <c r="G1467" s="631"/>
      <c r="H1467" s="833"/>
      <c r="I1467" s="834"/>
      <c r="J1467" s="834"/>
      <c r="K1467" s="835"/>
      <c r="L1467" s="835"/>
      <c r="M1467" s="835"/>
      <c r="N1467" s="835"/>
      <c r="O1467" s="835"/>
      <c r="P1467" s="835"/>
      <c r="Q1467" s="540"/>
      <c r="R1467" s="540"/>
      <c r="S1467" s="540"/>
      <c r="T1467" s="540"/>
      <c r="U1467" s="540"/>
      <c r="V1467" s="540"/>
      <c r="W1467" s="540"/>
      <c r="X1467" s="540"/>
      <c r="Y1467" s="540"/>
      <c r="Z1467" s="540"/>
    </row>
    <row r="1468" spans="1:26" ht="19">
      <c r="A1468" s="631"/>
      <c r="B1468" s="631"/>
      <c r="C1468" s="631"/>
      <c r="D1468" s="832"/>
      <c r="E1468" s="631"/>
      <c r="F1468" s="631"/>
      <c r="G1468" s="631"/>
      <c r="H1468" s="833"/>
      <c r="I1468" s="834"/>
      <c r="J1468" s="834"/>
      <c r="K1468" s="835"/>
      <c r="L1468" s="835"/>
      <c r="M1468" s="835"/>
      <c r="N1468" s="835"/>
      <c r="O1468" s="835"/>
      <c r="P1468" s="835"/>
      <c r="Q1468" s="540"/>
      <c r="R1468" s="540"/>
      <c r="S1468" s="540"/>
      <c r="T1468" s="540"/>
      <c r="U1468" s="540"/>
      <c r="V1468" s="540"/>
      <c r="W1468" s="540"/>
      <c r="X1468" s="540"/>
      <c r="Y1468" s="540"/>
      <c r="Z1468" s="540"/>
    </row>
    <row r="1469" spans="1:26" ht="19">
      <c r="A1469" s="631"/>
      <c r="B1469" s="631"/>
      <c r="C1469" s="631"/>
      <c r="D1469" s="832"/>
      <c r="E1469" s="631"/>
      <c r="F1469" s="631"/>
      <c r="G1469" s="631"/>
      <c r="H1469" s="833"/>
      <c r="I1469" s="834"/>
      <c r="J1469" s="834"/>
      <c r="K1469" s="835"/>
      <c r="L1469" s="835"/>
      <c r="M1469" s="835"/>
      <c r="N1469" s="835"/>
      <c r="O1469" s="835"/>
      <c r="P1469" s="835"/>
      <c r="Q1469" s="540"/>
      <c r="R1469" s="540"/>
      <c r="S1469" s="540"/>
      <c r="T1469" s="540"/>
      <c r="U1469" s="540"/>
      <c r="V1469" s="540"/>
      <c r="W1469" s="540"/>
      <c r="X1469" s="540"/>
      <c r="Y1469" s="540"/>
      <c r="Z1469" s="540"/>
    </row>
    <row r="1470" spans="1:26" ht="19">
      <c r="A1470" s="631"/>
      <c r="B1470" s="631"/>
      <c r="C1470" s="631"/>
      <c r="D1470" s="832"/>
      <c r="E1470" s="631"/>
      <c r="F1470" s="631"/>
      <c r="G1470" s="631"/>
      <c r="H1470" s="833"/>
      <c r="I1470" s="834"/>
      <c r="J1470" s="834"/>
      <c r="K1470" s="835"/>
      <c r="L1470" s="835"/>
      <c r="M1470" s="835"/>
      <c r="N1470" s="835"/>
      <c r="O1470" s="835"/>
      <c r="P1470" s="835"/>
      <c r="Q1470" s="540"/>
      <c r="R1470" s="540"/>
      <c r="S1470" s="540"/>
      <c r="T1470" s="540"/>
      <c r="U1470" s="540"/>
      <c r="V1470" s="540"/>
      <c r="W1470" s="540"/>
      <c r="X1470" s="540"/>
      <c r="Y1470" s="540"/>
      <c r="Z1470" s="540"/>
    </row>
    <row r="1471" spans="1:26" ht="19">
      <c r="A1471" s="631"/>
      <c r="B1471" s="631"/>
      <c r="C1471" s="631"/>
      <c r="D1471" s="832"/>
      <c r="E1471" s="631"/>
      <c r="F1471" s="631"/>
      <c r="G1471" s="631"/>
      <c r="H1471" s="833"/>
      <c r="I1471" s="834"/>
      <c r="J1471" s="834"/>
      <c r="K1471" s="835"/>
      <c r="L1471" s="835"/>
      <c r="M1471" s="835"/>
      <c r="N1471" s="835"/>
      <c r="O1471" s="835"/>
      <c r="P1471" s="835"/>
      <c r="Q1471" s="540"/>
      <c r="R1471" s="540"/>
      <c r="S1471" s="540"/>
      <c r="T1471" s="540"/>
      <c r="U1471" s="540"/>
      <c r="V1471" s="540"/>
      <c r="W1471" s="540"/>
      <c r="X1471" s="540"/>
      <c r="Y1471" s="540"/>
      <c r="Z1471" s="540"/>
    </row>
    <row r="1472" spans="1:26" ht="19">
      <c r="A1472" s="631"/>
      <c r="B1472" s="631"/>
      <c r="C1472" s="631"/>
      <c r="D1472" s="832"/>
      <c r="E1472" s="631"/>
      <c r="F1472" s="631"/>
      <c r="G1472" s="631"/>
      <c r="H1472" s="833"/>
      <c r="I1472" s="834"/>
      <c r="J1472" s="834"/>
      <c r="K1472" s="835"/>
      <c r="L1472" s="835"/>
      <c r="M1472" s="835"/>
      <c r="N1472" s="835"/>
      <c r="O1472" s="835"/>
      <c r="P1472" s="835"/>
      <c r="Q1472" s="540"/>
      <c r="R1472" s="540"/>
      <c r="S1472" s="540"/>
      <c r="T1472" s="540"/>
      <c r="U1472" s="540"/>
      <c r="V1472" s="540"/>
      <c r="W1472" s="540"/>
      <c r="X1472" s="540"/>
      <c r="Y1472" s="540"/>
      <c r="Z1472" s="540"/>
    </row>
    <row r="1473" spans="1:26" ht="19">
      <c r="A1473" s="631"/>
      <c r="B1473" s="631"/>
      <c r="C1473" s="631"/>
      <c r="D1473" s="832"/>
      <c r="E1473" s="631"/>
      <c r="F1473" s="631"/>
      <c r="G1473" s="631"/>
      <c r="H1473" s="833"/>
      <c r="I1473" s="834"/>
      <c r="J1473" s="834"/>
      <c r="K1473" s="835"/>
      <c r="L1473" s="835"/>
      <c r="M1473" s="835"/>
      <c r="N1473" s="835"/>
      <c r="O1473" s="835"/>
      <c r="P1473" s="835"/>
      <c r="Q1473" s="540"/>
      <c r="R1473" s="540"/>
      <c r="S1473" s="540"/>
      <c r="T1473" s="540"/>
      <c r="U1473" s="540"/>
      <c r="V1473" s="540"/>
      <c r="W1473" s="540"/>
      <c r="X1473" s="540"/>
      <c r="Y1473" s="540"/>
      <c r="Z1473" s="540"/>
    </row>
    <row r="1474" spans="1:26" ht="19">
      <c r="A1474" s="631"/>
      <c r="B1474" s="631"/>
      <c r="C1474" s="631"/>
      <c r="D1474" s="832"/>
      <c r="E1474" s="631"/>
      <c r="F1474" s="631"/>
      <c r="G1474" s="631"/>
      <c r="H1474" s="833"/>
      <c r="I1474" s="834"/>
      <c r="J1474" s="834"/>
      <c r="K1474" s="835"/>
      <c r="L1474" s="835"/>
      <c r="M1474" s="835"/>
      <c r="N1474" s="835"/>
      <c r="O1474" s="835"/>
      <c r="P1474" s="835"/>
      <c r="Q1474" s="540"/>
      <c r="R1474" s="540"/>
      <c r="S1474" s="540"/>
      <c r="T1474" s="540"/>
      <c r="U1474" s="540"/>
      <c r="V1474" s="540"/>
      <c r="W1474" s="540"/>
      <c r="X1474" s="540"/>
      <c r="Y1474" s="540"/>
      <c r="Z1474" s="540"/>
    </row>
    <row r="1475" spans="1:26" ht="19">
      <c r="A1475" s="631"/>
      <c r="B1475" s="631"/>
      <c r="C1475" s="631"/>
      <c r="D1475" s="832"/>
      <c r="E1475" s="631"/>
      <c r="F1475" s="631"/>
      <c r="G1475" s="631"/>
      <c r="H1475" s="833"/>
      <c r="I1475" s="834"/>
      <c r="J1475" s="834"/>
      <c r="K1475" s="835"/>
      <c r="L1475" s="835"/>
      <c r="M1475" s="835"/>
      <c r="N1475" s="835"/>
      <c r="O1475" s="835"/>
      <c r="P1475" s="835"/>
      <c r="Q1475" s="540"/>
      <c r="R1475" s="540"/>
      <c r="S1475" s="540"/>
      <c r="T1475" s="540"/>
      <c r="U1475" s="540"/>
      <c r="V1475" s="540"/>
      <c r="W1475" s="540"/>
      <c r="X1475" s="540"/>
      <c r="Y1475" s="540"/>
      <c r="Z1475" s="540"/>
    </row>
    <row r="1476" spans="1:26" ht="19">
      <c r="A1476" s="631"/>
      <c r="B1476" s="631"/>
      <c r="C1476" s="631"/>
      <c r="D1476" s="832"/>
      <c r="E1476" s="631"/>
      <c r="F1476" s="631"/>
      <c r="G1476" s="631"/>
      <c r="H1476" s="833"/>
      <c r="I1476" s="834"/>
      <c r="J1476" s="834"/>
      <c r="K1476" s="835"/>
      <c r="L1476" s="835"/>
      <c r="M1476" s="835"/>
      <c r="N1476" s="835"/>
      <c r="O1476" s="835"/>
      <c r="P1476" s="835"/>
      <c r="Q1476" s="540"/>
      <c r="R1476" s="540"/>
      <c r="S1476" s="540"/>
      <c r="T1476" s="540"/>
      <c r="U1476" s="540"/>
      <c r="V1476" s="540"/>
      <c r="W1476" s="540"/>
      <c r="X1476" s="540"/>
      <c r="Y1476" s="540"/>
      <c r="Z1476" s="540"/>
    </row>
    <row r="1477" spans="1:26" ht="19">
      <c r="A1477" s="631"/>
      <c r="B1477" s="631"/>
      <c r="C1477" s="631"/>
      <c r="D1477" s="832"/>
      <c r="E1477" s="631"/>
      <c r="F1477" s="631"/>
      <c r="G1477" s="631"/>
      <c r="H1477" s="833"/>
      <c r="I1477" s="834"/>
      <c r="J1477" s="834"/>
      <c r="K1477" s="835"/>
      <c r="L1477" s="835"/>
      <c r="M1477" s="835"/>
      <c r="N1477" s="835"/>
      <c r="O1477" s="835"/>
      <c r="P1477" s="835"/>
      <c r="Q1477" s="540"/>
      <c r="R1477" s="540"/>
      <c r="S1477" s="540"/>
      <c r="T1477" s="540"/>
      <c r="U1477" s="540"/>
      <c r="V1477" s="540"/>
      <c r="W1477" s="540"/>
      <c r="X1477" s="540"/>
      <c r="Y1477" s="540"/>
      <c r="Z1477" s="540"/>
    </row>
    <row r="1478" spans="1:26" ht="19">
      <c r="A1478" s="631"/>
      <c r="B1478" s="631"/>
      <c r="C1478" s="631"/>
      <c r="D1478" s="832"/>
      <c r="E1478" s="631"/>
      <c r="F1478" s="631"/>
      <c r="G1478" s="631"/>
      <c r="H1478" s="833"/>
      <c r="I1478" s="834"/>
      <c r="J1478" s="834"/>
      <c r="K1478" s="835"/>
      <c r="L1478" s="835"/>
      <c r="M1478" s="835"/>
      <c r="N1478" s="835"/>
      <c r="O1478" s="835"/>
      <c r="P1478" s="835"/>
      <c r="Q1478" s="540"/>
      <c r="R1478" s="540"/>
      <c r="S1478" s="540"/>
      <c r="T1478" s="540"/>
      <c r="U1478" s="540"/>
      <c r="V1478" s="540"/>
      <c r="W1478" s="540"/>
      <c r="X1478" s="540"/>
      <c r="Y1478" s="540"/>
      <c r="Z1478" s="540"/>
    </row>
    <row r="1479" spans="1:26" ht="19">
      <c r="A1479" s="631"/>
      <c r="B1479" s="631"/>
      <c r="C1479" s="631"/>
      <c r="D1479" s="832"/>
      <c r="E1479" s="631"/>
      <c r="F1479" s="631"/>
      <c r="G1479" s="631"/>
      <c r="H1479" s="833"/>
      <c r="I1479" s="834"/>
      <c r="J1479" s="834"/>
      <c r="K1479" s="835"/>
      <c r="L1479" s="835"/>
      <c r="M1479" s="835"/>
      <c r="N1479" s="835"/>
      <c r="O1479" s="835"/>
      <c r="P1479" s="835"/>
      <c r="Q1479" s="540"/>
      <c r="R1479" s="540"/>
      <c r="S1479" s="540"/>
      <c r="T1479" s="540"/>
      <c r="U1479" s="540"/>
      <c r="V1479" s="540"/>
      <c r="W1479" s="540"/>
      <c r="X1479" s="540"/>
      <c r="Y1479" s="540"/>
      <c r="Z1479" s="540"/>
    </row>
    <row r="1480" spans="1:26" ht="19">
      <c r="A1480" s="631"/>
      <c r="B1480" s="631"/>
      <c r="C1480" s="631"/>
      <c r="D1480" s="832"/>
      <c r="E1480" s="631"/>
      <c r="F1480" s="631"/>
      <c r="G1480" s="631"/>
      <c r="H1480" s="833"/>
      <c r="I1480" s="834"/>
      <c r="J1480" s="834"/>
      <c r="K1480" s="835"/>
      <c r="L1480" s="835"/>
      <c r="M1480" s="835"/>
      <c r="N1480" s="835"/>
      <c r="O1480" s="835"/>
      <c r="P1480" s="835"/>
      <c r="Q1480" s="540"/>
      <c r="R1480" s="540"/>
      <c r="S1480" s="540"/>
      <c r="T1480" s="540"/>
      <c r="U1480" s="540"/>
      <c r="V1480" s="540"/>
      <c r="W1480" s="540"/>
      <c r="X1480" s="540"/>
      <c r="Y1480" s="540"/>
      <c r="Z1480" s="540"/>
    </row>
    <row r="1481" spans="1:26" ht="19">
      <c r="A1481" s="631"/>
      <c r="B1481" s="631"/>
      <c r="C1481" s="631"/>
      <c r="D1481" s="832"/>
      <c r="E1481" s="631"/>
      <c r="F1481" s="631"/>
      <c r="G1481" s="631"/>
      <c r="H1481" s="833"/>
      <c r="I1481" s="834"/>
      <c r="J1481" s="834"/>
      <c r="K1481" s="835"/>
      <c r="L1481" s="835"/>
      <c r="M1481" s="835"/>
      <c r="N1481" s="835"/>
      <c r="O1481" s="835"/>
      <c r="P1481" s="835"/>
      <c r="Q1481" s="540"/>
      <c r="R1481" s="540"/>
      <c r="S1481" s="540"/>
      <c r="T1481" s="540"/>
      <c r="U1481" s="540"/>
      <c r="V1481" s="540"/>
      <c r="W1481" s="540"/>
      <c r="X1481" s="540"/>
      <c r="Y1481" s="540"/>
      <c r="Z1481" s="540"/>
    </row>
    <row r="1482" spans="1:26" ht="19">
      <c r="A1482" s="631"/>
      <c r="B1482" s="631"/>
      <c r="C1482" s="631"/>
      <c r="D1482" s="832"/>
      <c r="E1482" s="631"/>
      <c r="F1482" s="631"/>
      <c r="G1482" s="631"/>
      <c r="H1482" s="833"/>
      <c r="I1482" s="834"/>
      <c r="J1482" s="834"/>
      <c r="K1482" s="835"/>
      <c r="L1482" s="835"/>
      <c r="M1482" s="835"/>
      <c r="N1482" s="835"/>
      <c r="O1482" s="835"/>
      <c r="P1482" s="835"/>
      <c r="Q1482" s="540"/>
      <c r="R1482" s="540"/>
      <c r="S1482" s="540"/>
      <c r="T1482" s="540"/>
      <c r="U1482" s="540"/>
      <c r="V1482" s="540"/>
      <c r="W1482" s="540"/>
      <c r="X1482" s="540"/>
      <c r="Y1482" s="540"/>
      <c r="Z1482" s="540"/>
    </row>
    <row r="1483" spans="1:26" ht="19">
      <c r="A1483" s="631"/>
      <c r="B1483" s="631"/>
      <c r="C1483" s="631"/>
      <c r="D1483" s="832"/>
      <c r="E1483" s="631"/>
      <c r="F1483" s="631"/>
      <c r="G1483" s="631"/>
      <c r="H1483" s="833"/>
      <c r="I1483" s="834"/>
      <c r="J1483" s="834"/>
      <c r="K1483" s="835"/>
      <c r="L1483" s="835"/>
      <c r="M1483" s="835"/>
      <c r="N1483" s="835"/>
      <c r="O1483" s="835"/>
      <c r="P1483" s="835"/>
      <c r="Q1483" s="540"/>
      <c r="R1483" s="540"/>
      <c r="S1483" s="540"/>
      <c r="T1483" s="540"/>
      <c r="U1483" s="540"/>
      <c r="V1483" s="540"/>
      <c r="W1483" s="540"/>
      <c r="X1483" s="540"/>
      <c r="Y1483" s="540"/>
      <c r="Z1483" s="540"/>
    </row>
    <row r="1484" spans="1:26" ht="19">
      <c r="A1484" s="631"/>
      <c r="B1484" s="631"/>
      <c r="C1484" s="631"/>
      <c r="D1484" s="832"/>
      <c r="E1484" s="631"/>
      <c r="F1484" s="631"/>
      <c r="G1484" s="631"/>
      <c r="H1484" s="833"/>
      <c r="I1484" s="834"/>
      <c r="J1484" s="834"/>
      <c r="K1484" s="835"/>
      <c r="L1484" s="835"/>
      <c r="M1484" s="835"/>
      <c r="N1484" s="835"/>
      <c r="O1484" s="835"/>
      <c r="P1484" s="835"/>
      <c r="Q1484" s="540"/>
      <c r="R1484" s="540"/>
      <c r="S1484" s="540"/>
      <c r="T1484" s="540"/>
      <c r="U1484" s="540"/>
      <c r="V1484" s="540"/>
      <c r="W1484" s="540"/>
      <c r="X1484" s="540"/>
      <c r="Y1484" s="540"/>
      <c r="Z1484" s="540"/>
    </row>
    <row r="1485" spans="1:26" ht="19">
      <c r="A1485" s="631"/>
      <c r="B1485" s="631"/>
      <c r="C1485" s="631"/>
      <c r="D1485" s="832"/>
      <c r="E1485" s="631"/>
      <c r="F1485" s="631"/>
      <c r="G1485" s="631"/>
      <c r="H1485" s="833"/>
      <c r="I1485" s="834"/>
      <c r="J1485" s="834"/>
      <c r="K1485" s="835"/>
      <c r="L1485" s="835"/>
      <c r="M1485" s="835"/>
      <c r="N1485" s="835"/>
      <c r="O1485" s="835"/>
      <c r="P1485" s="835"/>
      <c r="Q1485" s="540"/>
      <c r="R1485" s="540"/>
      <c r="S1485" s="540"/>
      <c r="T1485" s="540"/>
      <c r="U1485" s="540"/>
      <c r="V1485" s="540"/>
      <c r="W1485" s="540"/>
      <c r="X1485" s="540"/>
      <c r="Y1485" s="540"/>
      <c r="Z1485" s="540"/>
    </row>
    <row r="1486" spans="1:26" ht="19">
      <c r="A1486" s="631"/>
      <c r="B1486" s="631"/>
      <c r="C1486" s="631"/>
      <c r="D1486" s="832"/>
      <c r="E1486" s="631"/>
      <c r="F1486" s="631"/>
      <c r="G1486" s="631"/>
      <c r="H1486" s="833"/>
      <c r="I1486" s="834"/>
      <c r="J1486" s="834"/>
      <c r="K1486" s="835"/>
      <c r="L1486" s="835"/>
      <c r="M1486" s="835"/>
      <c r="N1486" s="835"/>
      <c r="O1486" s="835"/>
      <c r="P1486" s="835"/>
      <c r="Q1486" s="540"/>
      <c r="R1486" s="540"/>
      <c r="S1486" s="540"/>
      <c r="T1486" s="540"/>
      <c r="U1486" s="540"/>
      <c r="V1486" s="540"/>
      <c r="W1486" s="540"/>
      <c r="X1486" s="540"/>
      <c r="Y1486" s="540"/>
      <c r="Z1486" s="540"/>
    </row>
    <row r="1487" spans="1:26" ht="19">
      <c r="A1487" s="631"/>
      <c r="B1487" s="631"/>
      <c r="C1487" s="631"/>
      <c r="D1487" s="832"/>
      <c r="E1487" s="631"/>
      <c r="F1487" s="631"/>
      <c r="G1487" s="631"/>
      <c r="H1487" s="833"/>
      <c r="I1487" s="834"/>
      <c r="J1487" s="834"/>
      <c r="K1487" s="835"/>
      <c r="L1487" s="835"/>
      <c r="M1487" s="835"/>
      <c r="N1487" s="835"/>
      <c r="O1487" s="835"/>
      <c r="P1487" s="835"/>
      <c r="Q1487" s="540"/>
      <c r="R1487" s="540"/>
      <c r="S1487" s="540"/>
      <c r="T1487" s="540"/>
      <c r="U1487" s="540"/>
      <c r="V1487" s="540"/>
      <c r="W1487" s="540"/>
      <c r="X1487" s="540"/>
      <c r="Y1487" s="540"/>
      <c r="Z1487" s="540"/>
    </row>
    <row r="1488" spans="1:26" ht="19">
      <c r="A1488" s="631"/>
      <c r="B1488" s="631"/>
      <c r="C1488" s="631"/>
      <c r="D1488" s="832"/>
      <c r="E1488" s="631"/>
      <c r="F1488" s="631"/>
      <c r="G1488" s="631"/>
      <c r="H1488" s="833"/>
      <c r="I1488" s="834"/>
      <c r="J1488" s="834"/>
      <c r="K1488" s="835"/>
      <c r="L1488" s="835"/>
      <c r="M1488" s="835"/>
      <c r="N1488" s="835"/>
      <c r="O1488" s="835"/>
      <c r="P1488" s="835"/>
      <c r="Q1488" s="540"/>
      <c r="R1488" s="540"/>
      <c r="S1488" s="540"/>
      <c r="T1488" s="540"/>
      <c r="U1488" s="540"/>
      <c r="V1488" s="540"/>
      <c r="W1488" s="540"/>
      <c r="X1488" s="540"/>
      <c r="Y1488" s="540"/>
      <c r="Z1488" s="540"/>
    </row>
    <row r="1489" spans="1:26" ht="19">
      <c r="A1489" s="631"/>
      <c r="B1489" s="631"/>
      <c r="C1489" s="631"/>
      <c r="D1489" s="832"/>
      <c r="E1489" s="631"/>
      <c r="F1489" s="631"/>
      <c r="G1489" s="631"/>
      <c r="H1489" s="833"/>
      <c r="I1489" s="834"/>
      <c r="J1489" s="834"/>
      <c r="K1489" s="835"/>
      <c r="L1489" s="835"/>
      <c r="M1489" s="835"/>
      <c r="N1489" s="835"/>
      <c r="O1489" s="835"/>
      <c r="P1489" s="835"/>
      <c r="Q1489" s="540"/>
      <c r="R1489" s="540"/>
      <c r="S1489" s="540"/>
      <c r="T1489" s="540"/>
      <c r="U1489" s="540"/>
      <c r="V1489" s="540"/>
      <c r="W1489" s="540"/>
      <c r="X1489" s="540"/>
      <c r="Y1489" s="540"/>
      <c r="Z1489" s="540"/>
    </row>
    <row r="1490" spans="1:26" ht="19">
      <c r="A1490" s="631"/>
      <c r="B1490" s="631"/>
      <c r="C1490" s="631"/>
      <c r="D1490" s="832"/>
      <c r="E1490" s="631"/>
      <c r="F1490" s="631"/>
      <c r="G1490" s="631"/>
      <c r="H1490" s="833"/>
      <c r="I1490" s="834"/>
      <c r="J1490" s="834"/>
      <c r="K1490" s="835"/>
      <c r="L1490" s="835"/>
      <c r="M1490" s="835"/>
      <c r="N1490" s="835"/>
      <c r="O1490" s="835"/>
      <c r="P1490" s="835"/>
      <c r="Q1490" s="540"/>
      <c r="R1490" s="540"/>
      <c r="S1490" s="540"/>
      <c r="T1490" s="540"/>
      <c r="U1490" s="540"/>
      <c r="V1490" s="540"/>
      <c r="W1490" s="540"/>
      <c r="X1490" s="540"/>
      <c r="Y1490" s="540"/>
      <c r="Z1490" s="540"/>
    </row>
    <row r="1491" spans="1:26" ht="19">
      <c r="A1491" s="631"/>
      <c r="B1491" s="631"/>
      <c r="C1491" s="631"/>
      <c r="D1491" s="832"/>
      <c r="E1491" s="631"/>
      <c r="F1491" s="631"/>
      <c r="G1491" s="631"/>
      <c r="H1491" s="833"/>
      <c r="I1491" s="834"/>
      <c r="J1491" s="834"/>
      <c r="K1491" s="835"/>
      <c r="L1491" s="835"/>
      <c r="M1491" s="835"/>
      <c r="N1491" s="835"/>
      <c r="O1491" s="835"/>
      <c r="P1491" s="835"/>
      <c r="Q1491" s="540"/>
      <c r="R1491" s="540"/>
      <c r="S1491" s="540"/>
      <c r="T1491" s="540"/>
      <c r="U1491" s="540"/>
      <c r="V1491" s="540"/>
      <c r="W1491" s="540"/>
      <c r="X1491" s="540"/>
      <c r="Y1491" s="540"/>
      <c r="Z1491" s="540"/>
    </row>
    <row r="1492" spans="1:26" ht="19">
      <c r="A1492" s="631"/>
      <c r="B1492" s="631"/>
      <c r="C1492" s="631"/>
      <c r="D1492" s="832"/>
      <c r="E1492" s="631"/>
      <c r="F1492" s="631"/>
      <c r="G1492" s="631"/>
      <c r="H1492" s="833"/>
      <c r="I1492" s="834"/>
      <c r="J1492" s="834"/>
      <c r="K1492" s="835"/>
      <c r="L1492" s="835"/>
      <c r="M1492" s="835"/>
      <c r="N1492" s="835"/>
      <c r="O1492" s="835"/>
      <c r="P1492" s="835"/>
      <c r="Q1492" s="540"/>
      <c r="R1492" s="540"/>
      <c r="S1492" s="540"/>
      <c r="T1492" s="540"/>
      <c r="U1492" s="540"/>
      <c r="V1492" s="540"/>
      <c r="W1492" s="540"/>
      <c r="X1492" s="540"/>
      <c r="Y1492" s="540"/>
      <c r="Z1492" s="540"/>
    </row>
    <row r="1493" spans="1:26" ht="19">
      <c r="A1493" s="631"/>
      <c r="B1493" s="631"/>
      <c r="C1493" s="631"/>
      <c r="D1493" s="832"/>
      <c r="E1493" s="631"/>
      <c r="F1493" s="631"/>
      <c r="G1493" s="631"/>
      <c r="H1493" s="833"/>
      <c r="I1493" s="834"/>
      <c r="J1493" s="834"/>
      <c r="K1493" s="835"/>
      <c r="L1493" s="835"/>
      <c r="M1493" s="835"/>
      <c r="N1493" s="835"/>
      <c r="O1493" s="835"/>
      <c r="P1493" s="835"/>
      <c r="Q1493" s="540"/>
      <c r="R1493" s="540"/>
      <c r="S1493" s="540"/>
      <c r="T1493" s="540"/>
      <c r="U1493" s="540"/>
      <c r="V1493" s="540"/>
      <c r="W1493" s="540"/>
      <c r="X1493" s="540"/>
      <c r="Y1493" s="540"/>
      <c r="Z1493" s="540"/>
    </row>
    <row r="1494" spans="1:26" ht="19">
      <c r="A1494" s="631"/>
      <c r="B1494" s="631"/>
      <c r="C1494" s="631"/>
      <c r="D1494" s="832"/>
      <c r="E1494" s="631"/>
      <c r="F1494" s="631"/>
      <c r="G1494" s="631"/>
      <c r="H1494" s="833"/>
      <c r="I1494" s="834"/>
      <c r="J1494" s="834"/>
      <c r="K1494" s="835"/>
      <c r="L1494" s="835"/>
      <c r="M1494" s="835"/>
      <c r="N1494" s="835"/>
      <c r="O1494" s="835"/>
      <c r="P1494" s="835"/>
      <c r="Q1494" s="540"/>
      <c r="R1494" s="540"/>
      <c r="S1494" s="540"/>
      <c r="T1494" s="540"/>
      <c r="U1494" s="540"/>
      <c r="V1494" s="540"/>
      <c r="W1494" s="540"/>
      <c r="X1494" s="540"/>
      <c r="Y1494" s="540"/>
      <c r="Z1494" s="540"/>
    </row>
    <row r="1495" spans="1:26" ht="19">
      <c r="A1495" s="631"/>
      <c r="B1495" s="631"/>
      <c r="C1495" s="631"/>
      <c r="D1495" s="832"/>
      <c r="E1495" s="631"/>
      <c r="F1495" s="631"/>
      <c r="G1495" s="631"/>
      <c r="H1495" s="833"/>
      <c r="I1495" s="834"/>
      <c r="J1495" s="834"/>
      <c r="K1495" s="835"/>
      <c r="L1495" s="835"/>
      <c r="M1495" s="835"/>
      <c r="N1495" s="835"/>
      <c r="O1495" s="835"/>
      <c r="P1495" s="835"/>
      <c r="Q1495" s="540"/>
      <c r="R1495" s="540"/>
      <c r="S1495" s="540"/>
      <c r="T1495" s="540"/>
      <c r="U1495" s="540"/>
      <c r="V1495" s="540"/>
      <c r="W1495" s="540"/>
      <c r="X1495" s="540"/>
      <c r="Y1495" s="540"/>
      <c r="Z1495" s="540"/>
    </row>
    <row r="1496" spans="1:26" ht="19">
      <c r="A1496" s="631"/>
      <c r="B1496" s="631"/>
      <c r="C1496" s="631"/>
      <c r="D1496" s="832"/>
      <c r="E1496" s="631"/>
      <c r="F1496" s="631"/>
      <c r="G1496" s="631"/>
      <c r="H1496" s="833"/>
      <c r="I1496" s="834"/>
      <c r="J1496" s="834"/>
      <c r="K1496" s="835"/>
      <c r="L1496" s="835"/>
      <c r="M1496" s="835"/>
      <c r="N1496" s="835"/>
      <c r="O1496" s="835"/>
      <c r="P1496" s="835"/>
      <c r="Q1496" s="540"/>
      <c r="R1496" s="540"/>
      <c r="S1496" s="540"/>
      <c r="T1496" s="540"/>
      <c r="U1496" s="540"/>
      <c r="V1496" s="540"/>
      <c r="W1496" s="540"/>
      <c r="X1496" s="540"/>
      <c r="Y1496" s="540"/>
      <c r="Z1496" s="540"/>
    </row>
    <row r="1497" spans="1:26" ht="19">
      <c r="A1497" s="631"/>
      <c r="B1497" s="631"/>
      <c r="C1497" s="631"/>
      <c r="D1497" s="832"/>
      <c r="E1497" s="631"/>
      <c r="F1497" s="631"/>
      <c r="G1497" s="631"/>
      <c r="H1497" s="833"/>
      <c r="I1497" s="834"/>
      <c r="J1497" s="834"/>
      <c r="K1497" s="835"/>
      <c r="L1497" s="835"/>
      <c r="M1497" s="835"/>
      <c r="N1497" s="835"/>
      <c r="O1497" s="835"/>
      <c r="P1497" s="835"/>
      <c r="Q1497" s="540"/>
      <c r="R1497" s="540"/>
      <c r="S1497" s="540"/>
      <c r="T1497" s="540"/>
      <c r="U1497" s="540"/>
      <c r="V1497" s="540"/>
      <c r="W1497" s="540"/>
      <c r="X1497" s="540"/>
      <c r="Y1497" s="540"/>
      <c r="Z1497" s="540"/>
    </row>
    <row r="1498" spans="1:26" ht="19">
      <c r="A1498" s="631"/>
      <c r="B1498" s="631"/>
      <c r="C1498" s="631"/>
      <c r="D1498" s="832"/>
      <c r="E1498" s="631"/>
      <c r="F1498" s="631"/>
      <c r="G1498" s="631"/>
      <c r="H1498" s="833"/>
      <c r="I1498" s="834"/>
      <c r="J1498" s="834"/>
      <c r="K1498" s="835"/>
      <c r="L1498" s="835"/>
      <c r="M1498" s="835"/>
      <c r="N1498" s="835"/>
      <c r="O1498" s="835"/>
      <c r="P1498" s="835"/>
      <c r="Q1498" s="540"/>
      <c r="R1498" s="540"/>
      <c r="S1498" s="540"/>
      <c r="T1498" s="540"/>
      <c r="U1498" s="540"/>
      <c r="V1498" s="540"/>
      <c r="W1498" s="540"/>
      <c r="X1498" s="540"/>
      <c r="Y1498" s="540"/>
      <c r="Z1498" s="540"/>
    </row>
    <row r="1499" spans="1:26" ht="19">
      <c r="A1499" s="631"/>
      <c r="B1499" s="631"/>
      <c r="C1499" s="631"/>
      <c r="D1499" s="832"/>
      <c r="E1499" s="631"/>
      <c r="F1499" s="631"/>
      <c r="G1499" s="631"/>
      <c r="H1499" s="833"/>
      <c r="I1499" s="834"/>
      <c r="J1499" s="834"/>
      <c r="K1499" s="835"/>
      <c r="L1499" s="835"/>
      <c r="M1499" s="835"/>
      <c r="N1499" s="835"/>
      <c r="O1499" s="835"/>
      <c r="P1499" s="835"/>
      <c r="Q1499" s="540"/>
      <c r="R1499" s="540"/>
      <c r="S1499" s="540"/>
      <c r="T1499" s="540"/>
      <c r="U1499" s="540"/>
      <c r="V1499" s="540"/>
      <c r="W1499" s="540"/>
      <c r="X1499" s="540"/>
      <c r="Y1499" s="540"/>
      <c r="Z1499" s="540"/>
    </row>
    <row r="1500" spans="1:26" ht="19">
      <c r="A1500" s="631"/>
      <c r="B1500" s="631"/>
      <c r="C1500" s="631"/>
      <c r="D1500" s="832"/>
      <c r="E1500" s="631"/>
      <c r="F1500" s="631"/>
      <c r="G1500" s="631"/>
      <c r="H1500" s="833"/>
      <c r="I1500" s="834"/>
      <c r="J1500" s="834"/>
      <c r="K1500" s="835"/>
      <c r="L1500" s="835"/>
      <c r="M1500" s="835"/>
      <c r="N1500" s="835"/>
      <c r="O1500" s="835"/>
      <c r="P1500" s="835"/>
      <c r="Q1500" s="540"/>
      <c r="R1500" s="540"/>
      <c r="S1500" s="540"/>
      <c r="T1500" s="540"/>
      <c r="U1500" s="540"/>
      <c r="V1500" s="540"/>
      <c r="W1500" s="540"/>
      <c r="X1500" s="540"/>
      <c r="Y1500" s="540"/>
      <c r="Z1500" s="540"/>
    </row>
    <row r="1501" spans="1:26" ht="19">
      <c r="A1501" s="631"/>
      <c r="B1501" s="631"/>
      <c r="C1501" s="631"/>
      <c r="D1501" s="832"/>
      <c r="E1501" s="631"/>
      <c r="F1501" s="631"/>
      <c r="G1501" s="631"/>
      <c r="H1501" s="833"/>
      <c r="I1501" s="834"/>
      <c r="J1501" s="834"/>
      <c r="K1501" s="835"/>
      <c r="L1501" s="835"/>
      <c r="M1501" s="835"/>
      <c r="N1501" s="835"/>
      <c r="O1501" s="835"/>
      <c r="P1501" s="835"/>
      <c r="Q1501" s="540"/>
      <c r="R1501" s="540"/>
      <c r="S1501" s="540"/>
      <c r="T1501" s="540"/>
      <c r="U1501" s="540"/>
      <c r="V1501" s="540"/>
      <c r="W1501" s="540"/>
      <c r="X1501" s="540"/>
      <c r="Y1501" s="540"/>
      <c r="Z1501" s="540"/>
    </row>
    <row r="1502" spans="1:26" ht="19">
      <c r="A1502" s="631"/>
      <c r="B1502" s="631"/>
      <c r="C1502" s="631"/>
      <c r="D1502" s="832"/>
      <c r="E1502" s="631"/>
      <c r="F1502" s="631"/>
      <c r="G1502" s="631"/>
      <c r="H1502" s="833"/>
      <c r="I1502" s="834"/>
      <c r="J1502" s="834"/>
      <c r="K1502" s="835"/>
      <c r="L1502" s="835"/>
      <c r="M1502" s="835"/>
      <c r="N1502" s="835"/>
      <c r="O1502" s="835"/>
      <c r="P1502" s="835"/>
      <c r="Q1502" s="540"/>
      <c r="R1502" s="540"/>
      <c r="S1502" s="540"/>
      <c r="T1502" s="540"/>
      <c r="U1502" s="540"/>
      <c r="V1502" s="540"/>
      <c r="W1502" s="540"/>
      <c r="X1502" s="540"/>
      <c r="Y1502" s="540"/>
      <c r="Z1502" s="540"/>
    </row>
    <row r="1503" spans="1:26" ht="19">
      <c r="A1503" s="631"/>
      <c r="B1503" s="631"/>
      <c r="C1503" s="631"/>
      <c r="D1503" s="832"/>
      <c r="E1503" s="631"/>
      <c r="F1503" s="631"/>
      <c r="G1503" s="631"/>
      <c r="H1503" s="833"/>
      <c r="I1503" s="834"/>
      <c r="J1503" s="834"/>
      <c r="K1503" s="835"/>
      <c r="L1503" s="835"/>
      <c r="M1503" s="835"/>
      <c r="N1503" s="835"/>
      <c r="O1503" s="835"/>
      <c r="P1503" s="835"/>
      <c r="Q1503" s="540"/>
      <c r="R1503" s="540"/>
      <c r="S1503" s="540"/>
      <c r="T1503" s="540"/>
      <c r="U1503" s="540"/>
      <c r="V1503" s="540"/>
      <c r="W1503" s="540"/>
      <c r="X1503" s="540"/>
      <c r="Y1503" s="540"/>
      <c r="Z1503" s="540"/>
    </row>
    <row r="1504" spans="1:26" ht="19">
      <c r="A1504" s="631"/>
      <c r="B1504" s="631"/>
      <c r="C1504" s="631"/>
      <c r="D1504" s="832"/>
      <c r="E1504" s="631"/>
      <c r="F1504" s="631"/>
      <c r="G1504" s="631"/>
      <c r="H1504" s="833"/>
      <c r="I1504" s="834"/>
      <c r="J1504" s="834"/>
      <c r="K1504" s="835"/>
      <c r="L1504" s="835"/>
      <c r="M1504" s="835"/>
      <c r="N1504" s="835"/>
      <c r="O1504" s="835"/>
      <c r="P1504" s="835"/>
      <c r="Q1504" s="540"/>
      <c r="R1504" s="540"/>
      <c r="S1504" s="540"/>
      <c r="T1504" s="540"/>
      <c r="U1504" s="540"/>
      <c r="V1504" s="540"/>
      <c r="W1504" s="540"/>
      <c r="X1504" s="540"/>
      <c r="Y1504" s="540"/>
      <c r="Z1504" s="540"/>
    </row>
    <row r="1505" spans="1:26" ht="19">
      <c r="A1505" s="631"/>
      <c r="B1505" s="631"/>
      <c r="C1505" s="631"/>
      <c r="D1505" s="832"/>
      <c r="E1505" s="631"/>
      <c r="F1505" s="631"/>
      <c r="G1505" s="631"/>
      <c r="H1505" s="833"/>
      <c r="I1505" s="834"/>
      <c r="J1505" s="834"/>
      <c r="K1505" s="835"/>
      <c r="L1505" s="835"/>
      <c r="M1505" s="835"/>
      <c r="N1505" s="835"/>
      <c r="O1505" s="835"/>
      <c r="P1505" s="835"/>
      <c r="Q1505" s="540"/>
      <c r="R1505" s="540"/>
      <c r="S1505" s="540"/>
      <c r="T1505" s="540"/>
      <c r="U1505" s="540"/>
      <c r="V1505" s="540"/>
      <c r="W1505" s="540"/>
      <c r="X1505" s="540"/>
      <c r="Y1505" s="540"/>
      <c r="Z1505" s="540"/>
    </row>
    <row r="1506" spans="1:26" ht="19">
      <c r="A1506" s="631"/>
      <c r="B1506" s="631"/>
      <c r="C1506" s="631"/>
      <c r="D1506" s="832"/>
      <c r="E1506" s="631"/>
      <c r="F1506" s="631"/>
      <c r="G1506" s="631"/>
      <c r="H1506" s="833"/>
      <c r="I1506" s="834"/>
      <c r="J1506" s="834"/>
      <c r="K1506" s="835"/>
      <c r="L1506" s="835"/>
      <c r="M1506" s="835"/>
      <c r="N1506" s="835"/>
      <c r="O1506" s="835"/>
      <c r="P1506" s="835"/>
      <c r="Q1506" s="540"/>
      <c r="R1506" s="540"/>
      <c r="S1506" s="540"/>
      <c r="T1506" s="540"/>
      <c r="U1506" s="540"/>
      <c r="V1506" s="540"/>
      <c r="W1506" s="540"/>
      <c r="X1506" s="540"/>
      <c r="Y1506" s="540"/>
      <c r="Z1506" s="540"/>
    </row>
    <row r="1507" spans="1:26" ht="19">
      <c r="A1507" s="631"/>
      <c r="B1507" s="631"/>
      <c r="C1507" s="631"/>
      <c r="D1507" s="832"/>
      <c r="E1507" s="631"/>
      <c r="F1507" s="631"/>
      <c r="G1507" s="631"/>
      <c r="H1507" s="833"/>
      <c r="I1507" s="834"/>
      <c r="J1507" s="834"/>
      <c r="K1507" s="835"/>
      <c r="L1507" s="835"/>
      <c r="M1507" s="835"/>
      <c r="N1507" s="835"/>
      <c r="O1507" s="835"/>
      <c r="P1507" s="835"/>
      <c r="Q1507" s="540"/>
      <c r="R1507" s="540"/>
      <c r="S1507" s="540"/>
      <c r="T1507" s="540"/>
      <c r="U1507" s="540"/>
      <c r="V1507" s="540"/>
      <c r="W1507" s="540"/>
      <c r="X1507" s="540"/>
      <c r="Y1507" s="540"/>
      <c r="Z1507" s="540"/>
    </row>
    <row r="1508" spans="1:26" ht="19">
      <c r="A1508" s="631"/>
      <c r="B1508" s="631"/>
      <c r="C1508" s="631"/>
      <c r="D1508" s="832"/>
      <c r="E1508" s="631"/>
      <c r="F1508" s="631"/>
      <c r="G1508" s="631"/>
      <c r="H1508" s="833"/>
      <c r="I1508" s="834"/>
      <c r="J1508" s="834"/>
      <c r="K1508" s="835"/>
      <c r="L1508" s="835"/>
      <c r="M1508" s="835"/>
      <c r="N1508" s="835"/>
      <c r="O1508" s="835"/>
      <c r="P1508" s="835"/>
      <c r="Q1508" s="540"/>
      <c r="R1508" s="540"/>
      <c r="S1508" s="540"/>
      <c r="T1508" s="540"/>
      <c r="U1508" s="540"/>
      <c r="V1508" s="540"/>
      <c r="W1508" s="540"/>
      <c r="X1508" s="540"/>
      <c r="Y1508" s="540"/>
      <c r="Z1508" s="540"/>
    </row>
    <row r="1509" spans="1:26" ht="19">
      <c r="A1509" s="631"/>
      <c r="B1509" s="631"/>
      <c r="C1509" s="631"/>
      <c r="D1509" s="832"/>
      <c r="E1509" s="631"/>
      <c r="F1509" s="631"/>
      <c r="G1509" s="631"/>
      <c r="H1509" s="833"/>
      <c r="I1509" s="834"/>
      <c r="J1509" s="834"/>
      <c r="K1509" s="835"/>
      <c r="L1509" s="835"/>
      <c r="M1509" s="835"/>
      <c r="N1509" s="835"/>
      <c r="O1509" s="835"/>
      <c r="P1509" s="835"/>
      <c r="Q1509" s="540"/>
      <c r="R1509" s="540"/>
      <c r="S1509" s="540"/>
      <c r="T1509" s="540"/>
      <c r="U1509" s="540"/>
      <c r="V1509" s="540"/>
      <c r="W1509" s="540"/>
      <c r="X1509" s="540"/>
      <c r="Y1509" s="540"/>
      <c r="Z1509" s="540"/>
    </row>
    <row r="1510" spans="1:26" ht="19">
      <c r="A1510" s="631"/>
      <c r="B1510" s="631"/>
      <c r="C1510" s="631"/>
      <c r="D1510" s="832"/>
      <c r="E1510" s="631"/>
      <c r="F1510" s="631"/>
      <c r="G1510" s="631"/>
      <c r="H1510" s="833"/>
      <c r="I1510" s="834"/>
      <c r="J1510" s="834"/>
      <c r="K1510" s="835"/>
      <c r="L1510" s="835"/>
      <c r="M1510" s="835"/>
      <c r="N1510" s="835"/>
      <c r="O1510" s="835"/>
      <c r="P1510" s="835"/>
      <c r="Q1510" s="540"/>
      <c r="R1510" s="540"/>
      <c r="S1510" s="540"/>
      <c r="T1510" s="540"/>
      <c r="U1510" s="540"/>
      <c r="V1510" s="540"/>
      <c r="W1510" s="540"/>
      <c r="X1510" s="540"/>
      <c r="Y1510" s="540"/>
      <c r="Z1510" s="540"/>
    </row>
    <row r="1511" spans="1:26" ht="19">
      <c r="A1511" s="631"/>
      <c r="B1511" s="631"/>
      <c r="C1511" s="631"/>
      <c r="D1511" s="832"/>
      <c r="E1511" s="631"/>
      <c r="F1511" s="631"/>
      <c r="G1511" s="631"/>
      <c r="H1511" s="833"/>
      <c r="I1511" s="834"/>
      <c r="J1511" s="834"/>
      <c r="K1511" s="835"/>
      <c r="L1511" s="835"/>
      <c r="M1511" s="835"/>
      <c r="N1511" s="835"/>
      <c r="O1511" s="835"/>
      <c r="P1511" s="835"/>
      <c r="Q1511" s="540"/>
      <c r="R1511" s="540"/>
      <c r="S1511" s="540"/>
      <c r="T1511" s="540"/>
      <c r="U1511" s="540"/>
      <c r="V1511" s="540"/>
      <c r="W1511" s="540"/>
      <c r="X1511" s="540"/>
      <c r="Y1511" s="540"/>
      <c r="Z1511" s="540"/>
    </row>
    <row r="1512" spans="1:26" ht="19">
      <c r="A1512" s="631"/>
      <c r="B1512" s="631"/>
      <c r="C1512" s="631"/>
      <c r="D1512" s="832"/>
      <c r="E1512" s="631"/>
      <c r="F1512" s="631"/>
      <c r="G1512" s="631"/>
      <c r="H1512" s="833"/>
      <c r="I1512" s="834"/>
      <c r="J1512" s="834"/>
      <c r="K1512" s="835"/>
      <c r="L1512" s="835"/>
      <c r="M1512" s="835"/>
      <c r="N1512" s="835"/>
      <c r="O1512" s="835"/>
      <c r="P1512" s="835"/>
      <c r="Q1512" s="540"/>
      <c r="R1512" s="540"/>
      <c r="S1512" s="540"/>
      <c r="T1512" s="540"/>
      <c r="U1512" s="540"/>
      <c r="V1512" s="540"/>
      <c r="W1512" s="540"/>
      <c r="X1512" s="540"/>
      <c r="Y1512" s="540"/>
      <c r="Z1512" s="540"/>
    </row>
    <row r="1513" spans="1:26" ht="19">
      <c r="A1513" s="631"/>
      <c r="B1513" s="631"/>
      <c r="C1513" s="631"/>
      <c r="D1513" s="832"/>
      <c r="E1513" s="631"/>
      <c r="F1513" s="631"/>
      <c r="G1513" s="631"/>
      <c r="H1513" s="833"/>
      <c r="I1513" s="834"/>
      <c r="J1513" s="834"/>
      <c r="K1513" s="835"/>
      <c r="L1513" s="835"/>
      <c r="M1513" s="835"/>
      <c r="N1513" s="835"/>
      <c r="O1513" s="835"/>
      <c r="P1513" s="835"/>
      <c r="Q1513" s="540"/>
      <c r="R1513" s="540"/>
      <c r="S1513" s="540"/>
      <c r="T1513" s="540"/>
      <c r="U1513" s="540"/>
      <c r="V1513" s="540"/>
      <c r="W1513" s="540"/>
      <c r="X1513" s="540"/>
      <c r="Y1513" s="540"/>
      <c r="Z1513" s="540"/>
    </row>
    <row r="1514" spans="1:26" ht="19">
      <c r="A1514" s="631"/>
      <c r="B1514" s="631"/>
      <c r="C1514" s="631"/>
      <c r="D1514" s="832"/>
      <c r="E1514" s="631"/>
      <c r="F1514" s="631"/>
      <c r="G1514" s="631"/>
      <c r="H1514" s="833"/>
      <c r="I1514" s="834"/>
      <c r="J1514" s="834"/>
      <c r="K1514" s="835"/>
      <c r="L1514" s="835"/>
      <c r="M1514" s="835"/>
      <c r="N1514" s="835"/>
      <c r="O1514" s="835"/>
      <c r="P1514" s="835"/>
      <c r="Q1514" s="540"/>
      <c r="R1514" s="540"/>
      <c r="S1514" s="540"/>
      <c r="T1514" s="540"/>
      <c r="U1514" s="540"/>
      <c r="V1514" s="540"/>
      <c r="W1514" s="540"/>
      <c r="X1514" s="540"/>
      <c r="Y1514" s="540"/>
      <c r="Z1514" s="540"/>
    </row>
    <row r="1515" spans="1:26" ht="19">
      <c r="A1515" s="631"/>
      <c r="B1515" s="631"/>
      <c r="C1515" s="631"/>
      <c r="D1515" s="832"/>
      <c r="E1515" s="631"/>
      <c r="F1515" s="631"/>
      <c r="G1515" s="631"/>
      <c r="H1515" s="833"/>
      <c r="I1515" s="834"/>
      <c r="J1515" s="834"/>
      <c r="K1515" s="835"/>
      <c r="L1515" s="835"/>
      <c r="M1515" s="835"/>
      <c r="N1515" s="835"/>
      <c r="O1515" s="835"/>
      <c r="P1515" s="835"/>
      <c r="Q1515" s="540"/>
      <c r="R1515" s="540"/>
      <c r="S1515" s="540"/>
      <c r="T1515" s="540"/>
      <c r="U1515" s="540"/>
      <c r="V1515" s="540"/>
      <c r="W1515" s="540"/>
      <c r="X1515" s="540"/>
      <c r="Y1515" s="540"/>
      <c r="Z1515" s="540"/>
    </row>
    <row r="1516" spans="1:26" ht="19">
      <c r="A1516" s="631"/>
      <c r="B1516" s="631"/>
      <c r="C1516" s="631"/>
      <c r="D1516" s="832"/>
      <c r="E1516" s="631"/>
      <c r="F1516" s="631"/>
      <c r="G1516" s="631"/>
      <c r="H1516" s="833"/>
      <c r="I1516" s="834"/>
      <c r="J1516" s="834"/>
      <c r="K1516" s="835"/>
      <c r="L1516" s="835"/>
      <c r="M1516" s="835"/>
      <c r="N1516" s="835"/>
      <c r="O1516" s="835"/>
      <c r="P1516" s="835"/>
      <c r="Q1516" s="540"/>
      <c r="R1516" s="540"/>
      <c r="S1516" s="540"/>
      <c r="T1516" s="540"/>
      <c r="U1516" s="540"/>
      <c r="V1516" s="540"/>
      <c r="W1516" s="540"/>
      <c r="X1516" s="540"/>
      <c r="Y1516" s="540"/>
      <c r="Z1516" s="540"/>
    </row>
    <row r="1517" spans="1:26" ht="19">
      <c r="A1517" s="631"/>
      <c r="B1517" s="631"/>
      <c r="C1517" s="631"/>
      <c r="D1517" s="832"/>
      <c r="E1517" s="631"/>
      <c r="F1517" s="631"/>
      <c r="G1517" s="631"/>
      <c r="H1517" s="833"/>
      <c r="I1517" s="834"/>
      <c r="J1517" s="834"/>
      <c r="K1517" s="835"/>
      <c r="L1517" s="835"/>
      <c r="M1517" s="835"/>
      <c r="N1517" s="835"/>
      <c r="O1517" s="835"/>
      <c r="P1517" s="835"/>
      <c r="Q1517" s="540"/>
      <c r="R1517" s="540"/>
      <c r="S1517" s="540"/>
      <c r="T1517" s="540"/>
      <c r="U1517" s="540"/>
      <c r="V1517" s="540"/>
      <c r="W1517" s="540"/>
      <c r="X1517" s="540"/>
      <c r="Y1517" s="540"/>
      <c r="Z1517" s="540"/>
    </row>
    <row r="1518" spans="1:26" ht="19">
      <c r="A1518" s="631"/>
      <c r="B1518" s="631"/>
      <c r="C1518" s="631"/>
      <c r="D1518" s="832"/>
      <c r="E1518" s="631"/>
      <c r="F1518" s="631"/>
      <c r="G1518" s="631"/>
      <c r="H1518" s="833"/>
      <c r="I1518" s="834"/>
      <c r="J1518" s="834"/>
      <c r="K1518" s="835"/>
      <c r="L1518" s="835"/>
      <c r="M1518" s="835"/>
      <c r="N1518" s="835"/>
      <c r="O1518" s="835"/>
      <c r="P1518" s="835"/>
      <c r="Q1518" s="540"/>
      <c r="R1518" s="540"/>
      <c r="S1518" s="540"/>
      <c r="T1518" s="540"/>
      <c r="U1518" s="540"/>
      <c r="V1518" s="540"/>
      <c r="W1518" s="540"/>
      <c r="X1518" s="540"/>
      <c r="Y1518" s="540"/>
      <c r="Z1518" s="540"/>
    </row>
    <row r="1519" spans="1:26" ht="19">
      <c r="A1519" s="631"/>
      <c r="B1519" s="631"/>
      <c r="C1519" s="631"/>
      <c r="D1519" s="832"/>
      <c r="E1519" s="631"/>
      <c r="F1519" s="631"/>
      <c r="G1519" s="631"/>
      <c r="H1519" s="833"/>
      <c r="I1519" s="834"/>
      <c r="J1519" s="834"/>
      <c r="K1519" s="835"/>
      <c r="L1519" s="835"/>
      <c r="M1519" s="835"/>
      <c r="N1519" s="835"/>
      <c r="O1519" s="835"/>
      <c r="P1519" s="835"/>
      <c r="Q1519" s="540"/>
      <c r="R1519" s="540"/>
      <c r="S1519" s="540"/>
      <c r="T1519" s="540"/>
      <c r="U1519" s="540"/>
      <c r="V1519" s="540"/>
      <c r="W1519" s="540"/>
      <c r="X1519" s="540"/>
      <c r="Y1519" s="540"/>
      <c r="Z1519" s="540"/>
    </row>
    <row r="1520" spans="1:26" ht="19">
      <c r="A1520" s="631"/>
      <c r="B1520" s="631"/>
      <c r="C1520" s="631"/>
      <c r="D1520" s="832"/>
      <c r="E1520" s="631"/>
      <c r="F1520" s="631"/>
      <c r="G1520" s="631"/>
      <c r="H1520" s="833"/>
      <c r="I1520" s="834"/>
      <c r="J1520" s="834"/>
      <c r="K1520" s="835"/>
      <c r="L1520" s="835"/>
      <c r="M1520" s="835"/>
      <c r="N1520" s="835"/>
      <c r="O1520" s="835"/>
      <c r="P1520" s="835"/>
      <c r="Q1520" s="540"/>
      <c r="R1520" s="540"/>
      <c r="S1520" s="540"/>
      <c r="T1520" s="540"/>
      <c r="U1520" s="540"/>
      <c r="V1520" s="540"/>
      <c r="W1520" s="540"/>
      <c r="X1520" s="540"/>
      <c r="Y1520" s="540"/>
      <c r="Z1520" s="540"/>
    </row>
    <row r="1521" spans="1:26" ht="19">
      <c r="A1521" s="631"/>
      <c r="B1521" s="631"/>
      <c r="C1521" s="631"/>
      <c r="D1521" s="832"/>
      <c r="E1521" s="631"/>
      <c r="F1521" s="631"/>
      <c r="G1521" s="631"/>
      <c r="H1521" s="833"/>
      <c r="I1521" s="834"/>
      <c r="J1521" s="834"/>
      <c r="K1521" s="835"/>
      <c r="L1521" s="835"/>
      <c r="M1521" s="835"/>
      <c r="N1521" s="835"/>
      <c r="O1521" s="835"/>
      <c r="P1521" s="835"/>
      <c r="Q1521" s="540"/>
      <c r="R1521" s="540"/>
      <c r="S1521" s="540"/>
      <c r="T1521" s="540"/>
      <c r="U1521" s="540"/>
      <c r="V1521" s="540"/>
      <c r="W1521" s="540"/>
      <c r="X1521" s="540"/>
      <c r="Y1521" s="540"/>
      <c r="Z1521" s="540"/>
    </row>
    <row r="1522" spans="1:26" ht="19">
      <c r="A1522" s="631"/>
      <c r="B1522" s="631"/>
      <c r="C1522" s="631"/>
      <c r="D1522" s="832"/>
      <c r="E1522" s="631"/>
      <c r="F1522" s="631"/>
      <c r="G1522" s="631"/>
      <c r="H1522" s="833"/>
      <c r="I1522" s="834"/>
      <c r="J1522" s="834"/>
      <c r="K1522" s="835"/>
      <c r="L1522" s="835"/>
      <c r="M1522" s="835"/>
      <c r="N1522" s="835"/>
      <c r="O1522" s="835"/>
      <c r="P1522" s="835"/>
      <c r="Q1522" s="540"/>
      <c r="R1522" s="540"/>
      <c r="S1522" s="540"/>
      <c r="T1522" s="540"/>
      <c r="U1522" s="540"/>
      <c r="V1522" s="540"/>
      <c r="W1522" s="540"/>
      <c r="X1522" s="540"/>
      <c r="Y1522" s="540"/>
      <c r="Z1522" s="540"/>
    </row>
    <row r="1523" spans="1:26" ht="19">
      <c r="A1523" s="631"/>
      <c r="B1523" s="631"/>
      <c r="C1523" s="631"/>
      <c r="D1523" s="832"/>
      <c r="E1523" s="631"/>
      <c r="F1523" s="631"/>
      <c r="G1523" s="631"/>
      <c r="H1523" s="833"/>
      <c r="I1523" s="834"/>
      <c r="J1523" s="834"/>
      <c r="K1523" s="835"/>
      <c r="L1523" s="835"/>
      <c r="M1523" s="835"/>
      <c r="N1523" s="835"/>
      <c r="O1523" s="835"/>
      <c r="P1523" s="835"/>
      <c r="Q1523" s="540"/>
      <c r="R1523" s="540"/>
      <c r="S1523" s="540"/>
      <c r="T1523" s="540"/>
      <c r="U1523" s="540"/>
      <c r="V1523" s="540"/>
      <c r="W1523" s="540"/>
      <c r="X1523" s="540"/>
      <c r="Y1523" s="540"/>
      <c r="Z1523" s="540"/>
    </row>
    <row r="1524" spans="1:26" ht="19">
      <c r="A1524" s="631"/>
      <c r="B1524" s="631"/>
      <c r="C1524" s="631"/>
      <c r="D1524" s="832"/>
      <c r="E1524" s="631"/>
      <c r="F1524" s="631"/>
      <c r="G1524" s="631"/>
      <c r="H1524" s="833"/>
      <c r="I1524" s="834"/>
      <c r="J1524" s="834"/>
      <c r="K1524" s="835"/>
      <c r="L1524" s="835"/>
      <c r="M1524" s="835"/>
      <c r="N1524" s="835"/>
      <c r="O1524" s="835"/>
      <c r="P1524" s="835"/>
      <c r="Q1524" s="540"/>
      <c r="R1524" s="540"/>
      <c r="S1524" s="540"/>
      <c r="T1524" s="540"/>
      <c r="U1524" s="540"/>
      <c r="V1524" s="540"/>
      <c r="W1524" s="540"/>
      <c r="X1524" s="540"/>
      <c r="Y1524" s="540"/>
      <c r="Z1524" s="540"/>
    </row>
    <row r="1525" spans="1:26" ht="19">
      <c r="A1525" s="631"/>
      <c r="B1525" s="631"/>
      <c r="C1525" s="631"/>
      <c r="D1525" s="832"/>
      <c r="E1525" s="631"/>
      <c r="F1525" s="631"/>
      <c r="G1525" s="631"/>
      <c r="H1525" s="833"/>
      <c r="I1525" s="834"/>
      <c r="J1525" s="834"/>
      <c r="K1525" s="835"/>
      <c r="L1525" s="835"/>
      <c r="M1525" s="835"/>
      <c r="N1525" s="835"/>
      <c r="O1525" s="835"/>
      <c r="P1525" s="835"/>
      <c r="Q1525" s="540"/>
      <c r="R1525" s="540"/>
      <c r="S1525" s="540"/>
      <c r="T1525" s="540"/>
      <c r="U1525" s="540"/>
      <c r="V1525" s="540"/>
      <c r="W1525" s="540"/>
      <c r="X1525" s="540"/>
      <c r="Y1525" s="540"/>
      <c r="Z1525" s="540"/>
    </row>
    <row r="1526" spans="1:26" ht="19">
      <c r="A1526" s="631"/>
      <c r="B1526" s="631"/>
      <c r="C1526" s="631"/>
      <c r="D1526" s="832"/>
      <c r="E1526" s="631"/>
      <c r="F1526" s="631"/>
      <c r="G1526" s="631"/>
      <c r="H1526" s="833"/>
      <c r="I1526" s="834"/>
      <c r="J1526" s="834"/>
      <c r="K1526" s="835"/>
      <c r="L1526" s="835"/>
      <c r="M1526" s="835"/>
      <c r="N1526" s="835"/>
      <c r="O1526" s="835"/>
      <c r="P1526" s="835"/>
      <c r="Q1526" s="540"/>
      <c r="R1526" s="540"/>
      <c r="S1526" s="540"/>
      <c r="T1526" s="540"/>
      <c r="U1526" s="540"/>
      <c r="V1526" s="540"/>
      <c r="W1526" s="540"/>
      <c r="X1526" s="540"/>
      <c r="Y1526" s="540"/>
      <c r="Z1526" s="540"/>
    </row>
    <row r="1527" spans="1:26" ht="19">
      <c r="A1527" s="631"/>
      <c r="B1527" s="631"/>
      <c r="C1527" s="631"/>
      <c r="D1527" s="832"/>
      <c r="E1527" s="631"/>
      <c r="F1527" s="631"/>
      <c r="G1527" s="631"/>
      <c r="H1527" s="833"/>
      <c r="I1527" s="834"/>
      <c r="J1527" s="834"/>
      <c r="K1527" s="835"/>
      <c r="L1527" s="835"/>
      <c r="M1527" s="835"/>
      <c r="N1527" s="835"/>
      <c r="O1527" s="835"/>
      <c r="P1527" s="835"/>
      <c r="Q1527" s="540"/>
      <c r="R1527" s="540"/>
      <c r="S1527" s="540"/>
      <c r="T1527" s="540"/>
      <c r="U1527" s="540"/>
      <c r="V1527" s="540"/>
      <c r="W1527" s="540"/>
      <c r="X1527" s="540"/>
      <c r="Y1527" s="540"/>
      <c r="Z1527" s="540"/>
    </row>
    <row r="1528" spans="1:26" ht="19">
      <c r="A1528" s="631"/>
      <c r="B1528" s="631"/>
      <c r="C1528" s="631"/>
      <c r="D1528" s="832"/>
      <c r="E1528" s="631"/>
      <c r="F1528" s="631"/>
      <c r="G1528" s="631"/>
      <c r="H1528" s="833"/>
      <c r="I1528" s="834"/>
      <c r="J1528" s="834"/>
      <c r="K1528" s="835"/>
      <c r="L1528" s="835"/>
      <c r="M1528" s="835"/>
      <c r="N1528" s="835"/>
      <c r="O1528" s="835"/>
      <c r="P1528" s="835"/>
      <c r="Q1528" s="540"/>
      <c r="R1528" s="540"/>
      <c r="S1528" s="540"/>
      <c r="T1528" s="540"/>
      <c r="U1528" s="540"/>
      <c r="V1528" s="540"/>
      <c r="W1528" s="540"/>
      <c r="X1528" s="540"/>
      <c r="Y1528" s="540"/>
      <c r="Z1528" s="540"/>
    </row>
    <row r="1529" spans="1:26" ht="19">
      <c r="A1529" s="631"/>
      <c r="B1529" s="631"/>
      <c r="C1529" s="631"/>
      <c r="D1529" s="832"/>
      <c r="E1529" s="631"/>
      <c r="F1529" s="631"/>
      <c r="G1529" s="631"/>
      <c r="H1529" s="833"/>
      <c r="I1529" s="834"/>
      <c r="J1529" s="834"/>
      <c r="K1529" s="835"/>
      <c r="L1529" s="835"/>
      <c r="M1529" s="835"/>
      <c r="N1529" s="835"/>
      <c r="O1529" s="835"/>
      <c r="P1529" s="835"/>
      <c r="Q1529" s="540"/>
      <c r="R1529" s="540"/>
      <c r="S1529" s="540"/>
      <c r="T1529" s="540"/>
      <c r="U1529" s="540"/>
      <c r="V1529" s="540"/>
      <c r="W1529" s="540"/>
      <c r="X1529" s="540"/>
      <c r="Y1529" s="540"/>
      <c r="Z1529" s="540"/>
    </row>
    <row r="1530" spans="1:26" ht="19">
      <c r="A1530" s="631"/>
      <c r="B1530" s="631"/>
      <c r="C1530" s="631"/>
      <c r="D1530" s="832"/>
      <c r="E1530" s="631"/>
      <c r="F1530" s="631"/>
      <c r="G1530" s="631"/>
      <c r="H1530" s="833"/>
      <c r="I1530" s="834"/>
      <c r="J1530" s="834"/>
      <c r="K1530" s="835"/>
      <c r="L1530" s="835"/>
      <c r="M1530" s="835"/>
      <c r="N1530" s="835"/>
      <c r="O1530" s="835"/>
      <c r="P1530" s="835"/>
      <c r="Q1530" s="540"/>
      <c r="R1530" s="540"/>
      <c r="S1530" s="540"/>
      <c r="T1530" s="540"/>
      <c r="U1530" s="540"/>
      <c r="V1530" s="540"/>
      <c r="W1530" s="540"/>
      <c r="X1530" s="540"/>
      <c r="Y1530" s="540"/>
      <c r="Z1530" s="540"/>
    </row>
    <row r="1531" spans="1:26" ht="19">
      <c r="A1531" s="631"/>
      <c r="B1531" s="631"/>
      <c r="C1531" s="631"/>
      <c r="D1531" s="832"/>
      <c r="E1531" s="631"/>
      <c r="F1531" s="631"/>
      <c r="G1531" s="631"/>
      <c r="H1531" s="833"/>
      <c r="I1531" s="834"/>
      <c r="J1531" s="834"/>
      <c r="K1531" s="835"/>
      <c r="L1531" s="835"/>
      <c r="M1531" s="835"/>
      <c r="N1531" s="835"/>
      <c r="O1531" s="835"/>
      <c r="P1531" s="835"/>
      <c r="Q1531" s="540"/>
      <c r="R1531" s="540"/>
      <c r="S1531" s="540"/>
      <c r="T1531" s="540"/>
      <c r="U1531" s="540"/>
      <c r="V1531" s="540"/>
      <c r="W1531" s="540"/>
      <c r="X1531" s="540"/>
      <c r="Y1531" s="540"/>
      <c r="Z1531" s="540"/>
    </row>
    <row r="1532" spans="1:26" ht="19">
      <c r="A1532" s="631"/>
      <c r="B1532" s="631"/>
      <c r="C1532" s="631"/>
      <c r="D1532" s="832"/>
      <c r="E1532" s="631"/>
      <c r="F1532" s="631"/>
      <c r="G1532" s="631"/>
      <c r="H1532" s="833"/>
      <c r="I1532" s="834"/>
      <c r="J1532" s="834"/>
      <c r="K1532" s="835"/>
      <c r="L1532" s="835"/>
      <c r="M1532" s="835"/>
      <c r="N1532" s="835"/>
      <c r="O1532" s="835"/>
      <c r="P1532" s="835"/>
      <c r="Q1532" s="540"/>
      <c r="R1532" s="540"/>
      <c r="S1532" s="540"/>
      <c r="T1532" s="540"/>
      <c r="U1532" s="540"/>
      <c r="V1532" s="540"/>
      <c r="W1532" s="540"/>
      <c r="X1532" s="540"/>
      <c r="Y1532" s="540"/>
      <c r="Z1532" s="540"/>
    </row>
    <row r="1533" spans="1:26" ht="19">
      <c r="A1533" s="631"/>
      <c r="B1533" s="631"/>
      <c r="C1533" s="631"/>
      <c r="D1533" s="832"/>
      <c r="E1533" s="631"/>
      <c r="F1533" s="631"/>
      <c r="G1533" s="631"/>
      <c r="H1533" s="833"/>
      <c r="I1533" s="834"/>
      <c r="J1533" s="834"/>
      <c r="K1533" s="835"/>
      <c r="L1533" s="835"/>
      <c r="M1533" s="835"/>
      <c r="N1533" s="835"/>
      <c r="O1533" s="835"/>
      <c r="P1533" s="835"/>
      <c r="Q1533" s="540"/>
      <c r="R1533" s="540"/>
      <c r="S1533" s="540"/>
      <c r="T1533" s="540"/>
      <c r="U1533" s="540"/>
      <c r="V1533" s="540"/>
      <c r="W1533" s="540"/>
      <c r="X1533" s="540"/>
      <c r="Y1533" s="540"/>
      <c r="Z1533" s="540"/>
    </row>
    <row r="1534" spans="1:26" ht="19">
      <c r="A1534" s="631"/>
      <c r="B1534" s="631"/>
      <c r="C1534" s="631"/>
      <c r="D1534" s="832"/>
      <c r="E1534" s="631"/>
      <c r="F1534" s="631"/>
      <c r="G1534" s="631"/>
      <c r="H1534" s="833"/>
      <c r="I1534" s="834"/>
      <c r="J1534" s="834"/>
      <c r="K1534" s="835"/>
      <c r="L1534" s="835"/>
      <c r="M1534" s="835"/>
      <c r="N1534" s="835"/>
      <c r="O1534" s="835"/>
      <c r="P1534" s="835"/>
      <c r="Q1534" s="540"/>
      <c r="R1534" s="540"/>
      <c r="S1534" s="540"/>
      <c r="T1534" s="540"/>
      <c r="U1534" s="540"/>
      <c r="V1534" s="540"/>
      <c r="W1534" s="540"/>
      <c r="X1534" s="540"/>
      <c r="Y1534" s="540"/>
      <c r="Z1534" s="540"/>
    </row>
    <row r="1535" spans="1:26" ht="19">
      <c r="A1535" s="631"/>
      <c r="B1535" s="631"/>
      <c r="C1535" s="631"/>
      <c r="D1535" s="832"/>
      <c r="E1535" s="631"/>
      <c r="F1535" s="631"/>
      <c r="G1535" s="631"/>
      <c r="H1535" s="833"/>
      <c r="I1535" s="834"/>
      <c r="J1535" s="834"/>
      <c r="K1535" s="835"/>
      <c r="L1535" s="835"/>
      <c r="M1535" s="835"/>
      <c r="N1535" s="835"/>
      <c r="O1535" s="835"/>
      <c r="P1535" s="835"/>
      <c r="Q1535" s="540"/>
      <c r="R1535" s="540"/>
      <c r="S1535" s="540"/>
      <c r="T1535" s="540"/>
      <c r="U1535" s="540"/>
      <c r="V1535" s="540"/>
      <c r="W1535" s="540"/>
      <c r="X1535" s="540"/>
      <c r="Y1535" s="540"/>
      <c r="Z1535" s="540"/>
    </row>
    <row r="1536" spans="1:26" ht="19">
      <c r="A1536" s="631"/>
      <c r="B1536" s="631"/>
      <c r="C1536" s="631"/>
      <c r="D1536" s="832"/>
      <c r="E1536" s="631"/>
      <c r="F1536" s="631"/>
      <c r="G1536" s="631"/>
      <c r="H1536" s="833"/>
      <c r="I1536" s="834"/>
      <c r="J1536" s="834"/>
      <c r="K1536" s="835"/>
      <c r="L1536" s="835"/>
      <c r="M1536" s="835"/>
      <c r="N1536" s="835"/>
      <c r="O1536" s="835"/>
      <c r="P1536" s="835"/>
      <c r="Q1536" s="540"/>
      <c r="R1536" s="540"/>
      <c r="S1536" s="540"/>
      <c r="T1536" s="540"/>
      <c r="U1536" s="540"/>
      <c r="V1536" s="540"/>
      <c r="W1536" s="540"/>
      <c r="X1536" s="540"/>
      <c r="Y1536" s="540"/>
      <c r="Z1536" s="540"/>
    </row>
    <row r="1537" spans="1:26" ht="19">
      <c r="A1537" s="631"/>
      <c r="B1537" s="631"/>
      <c r="C1537" s="631"/>
      <c r="D1537" s="832"/>
      <c r="E1537" s="631"/>
      <c r="F1537" s="631"/>
      <c r="G1537" s="631"/>
      <c r="H1537" s="833"/>
      <c r="I1537" s="834"/>
      <c r="J1537" s="834"/>
      <c r="K1537" s="835"/>
      <c r="L1537" s="835"/>
      <c r="M1537" s="835"/>
      <c r="N1537" s="835"/>
      <c r="O1537" s="835"/>
      <c r="P1537" s="835"/>
      <c r="Q1537" s="540"/>
      <c r="R1537" s="540"/>
      <c r="S1537" s="540"/>
      <c r="T1537" s="540"/>
      <c r="U1537" s="540"/>
      <c r="V1537" s="540"/>
      <c r="W1537" s="540"/>
      <c r="X1537" s="540"/>
      <c r="Y1537" s="540"/>
      <c r="Z1537" s="540"/>
    </row>
    <row r="1538" spans="1:26" ht="19">
      <c r="A1538" s="631"/>
      <c r="B1538" s="631"/>
      <c r="C1538" s="631"/>
      <c r="D1538" s="832"/>
      <c r="E1538" s="631"/>
      <c r="F1538" s="631"/>
      <c r="G1538" s="631"/>
      <c r="H1538" s="833"/>
      <c r="I1538" s="834"/>
      <c r="J1538" s="834"/>
      <c r="K1538" s="835"/>
      <c r="L1538" s="835"/>
      <c r="M1538" s="835"/>
      <c r="N1538" s="835"/>
      <c r="O1538" s="835"/>
      <c r="P1538" s="835"/>
      <c r="Q1538" s="540"/>
      <c r="R1538" s="540"/>
      <c r="S1538" s="540"/>
      <c r="T1538" s="540"/>
      <c r="U1538" s="540"/>
      <c r="V1538" s="540"/>
      <c r="W1538" s="540"/>
      <c r="X1538" s="540"/>
      <c r="Y1538" s="540"/>
      <c r="Z1538" s="540"/>
    </row>
    <row r="1539" spans="1:26" ht="19">
      <c r="A1539" s="631"/>
      <c r="B1539" s="631"/>
      <c r="C1539" s="631"/>
      <c r="D1539" s="832"/>
      <c r="E1539" s="631"/>
      <c r="F1539" s="631"/>
      <c r="G1539" s="631"/>
      <c r="H1539" s="833"/>
      <c r="I1539" s="834"/>
      <c r="J1539" s="834"/>
      <c r="K1539" s="835"/>
      <c r="L1539" s="835"/>
      <c r="M1539" s="835"/>
      <c r="N1539" s="835"/>
      <c r="O1539" s="835"/>
      <c r="P1539" s="835"/>
      <c r="Q1539" s="540"/>
      <c r="R1539" s="540"/>
      <c r="S1539" s="540"/>
      <c r="T1539" s="540"/>
      <c r="U1539" s="540"/>
      <c r="V1539" s="540"/>
      <c r="W1539" s="540"/>
      <c r="X1539" s="540"/>
      <c r="Y1539" s="540"/>
      <c r="Z1539" s="540"/>
    </row>
    <row r="1540" spans="1:26" ht="19">
      <c r="A1540" s="631"/>
      <c r="B1540" s="631"/>
      <c r="C1540" s="631"/>
      <c r="D1540" s="832"/>
      <c r="E1540" s="631"/>
      <c r="F1540" s="631"/>
      <c r="G1540" s="631"/>
      <c r="H1540" s="833"/>
      <c r="I1540" s="834"/>
      <c r="J1540" s="834"/>
      <c r="K1540" s="835"/>
      <c r="L1540" s="835"/>
      <c r="M1540" s="835"/>
      <c r="N1540" s="835"/>
      <c r="O1540" s="835"/>
      <c r="P1540" s="835"/>
      <c r="Q1540" s="540"/>
      <c r="R1540" s="540"/>
      <c r="S1540" s="540"/>
      <c r="T1540" s="540"/>
      <c r="U1540" s="540"/>
      <c r="V1540" s="540"/>
      <c r="W1540" s="540"/>
      <c r="X1540" s="540"/>
      <c r="Y1540" s="540"/>
      <c r="Z1540" s="540"/>
    </row>
    <row r="1541" spans="1:26" ht="19">
      <c r="A1541" s="631"/>
      <c r="B1541" s="631"/>
      <c r="C1541" s="631"/>
      <c r="D1541" s="832"/>
      <c r="E1541" s="631"/>
      <c r="F1541" s="631"/>
      <c r="G1541" s="631"/>
      <c r="H1541" s="833"/>
      <c r="I1541" s="834"/>
      <c r="J1541" s="834"/>
      <c r="K1541" s="835"/>
      <c r="L1541" s="835"/>
      <c r="M1541" s="835"/>
      <c r="N1541" s="835"/>
      <c r="O1541" s="835"/>
      <c r="P1541" s="835"/>
      <c r="Q1541" s="540"/>
      <c r="R1541" s="540"/>
      <c r="S1541" s="540"/>
      <c r="T1541" s="540"/>
      <c r="U1541" s="540"/>
      <c r="V1541" s="540"/>
      <c r="W1541" s="540"/>
      <c r="X1541" s="540"/>
      <c r="Y1541" s="540"/>
      <c r="Z1541" s="540"/>
    </row>
    <row r="1542" spans="1:26" ht="19">
      <c r="A1542" s="631"/>
      <c r="B1542" s="631"/>
      <c r="C1542" s="631"/>
      <c r="D1542" s="832"/>
      <c r="E1542" s="631"/>
      <c r="F1542" s="631"/>
      <c r="G1542" s="631"/>
      <c r="H1542" s="833"/>
      <c r="I1542" s="834"/>
      <c r="J1542" s="834"/>
      <c r="K1542" s="835"/>
      <c r="L1542" s="835"/>
      <c r="M1542" s="835"/>
      <c r="N1542" s="835"/>
      <c r="O1542" s="835"/>
      <c r="P1542" s="835"/>
      <c r="Q1542" s="540"/>
      <c r="R1542" s="540"/>
      <c r="S1542" s="540"/>
      <c r="T1542" s="540"/>
      <c r="U1542" s="540"/>
      <c r="V1542" s="540"/>
      <c r="W1542" s="540"/>
      <c r="X1542" s="540"/>
      <c r="Y1542" s="540"/>
      <c r="Z1542" s="540"/>
    </row>
    <row r="1543" spans="1:26" ht="19">
      <c r="A1543" s="631"/>
      <c r="B1543" s="631"/>
      <c r="C1543" s="631"/>
      <c r="D1543" s="832"/>
      <c r="E1543" s="631"/>
      <c r="F1543" s="631"/>
      <c r="G1543" s="631"/>
      <c r="H1543" s="833"/>
      <c r="I1543" s="834"/>
      <c r="J1543" s="834"/>
      <c r="K1543" s="835"/>
      <c r="L1543" s="835"/>
      <c r="M1543" s="835"/>
      <c r="N1543" s="835"/>
      <c r="O1543" s="835"/>
      <c r="P1543" s="835"/>
      <c r="Q1543" s="540"/>
      <c r="R1543" s="540"/>
      <c r="S1543" s="540"/>
      <c r="T1543" s="540"/>
      <c r="U1543" s="540"/>
      <c r="V1543" s="540"/>
      <c r="W1543" s="540"/>
      <c r="X1543" s="540"/>
      <c r="Y1543" s="540"/>
      <c r="Z1543" s="540"/>
    </row>
    <row r="1544" spans="1:26" ht="19">
      <c r="A1544" s="631"/>
      <c r="B1544" s="631"/>
      <c r="C1544" s="631"/>
      <c r="D1544" s="832"/>
      <c r="E1544" s="631"/>
      <c r="F1544" s="631"/>
      <c r="G1544" s="631"/>
      <c r="H1544" s="833"/>
      <c r="I1544" s="834"/>
      <c r="J1544" s="834"/>
      <c r="K1544" s="835"/>
      <c r="L1544" s="835"/>
      <c r="M1544" s="835"/>
      <c r="N1544" s="835"/>
      <c r="O1544" s="835"/>
      <c r="P1544" s="835"/>
      <c r="Q1544" s="540"/>
      <c r="R1544" s="540"/>
      <c r="S1544" s="540"/>
      <c r="T1544" s="540"/>
      <c r="U1544" s="540"/>
      <c r="V1544" s="540"/>
      <c r="W1544" s="540"/>
      <c r="X1544" s="540"/>
      <c r="Y1544" s="540"/>
      <c r="Z1544" s="540"/>
    </row>
    <row r="1545" spans="1:26" ht="19">
      <c r="A1545" s="631"/>
      <c r="B1545" s="631"/>
      <c r="C1545" s="631"/>
      <c r="D1545" s="832"/>
      <c r="E1545" s="631"/>
      <c r="F1545" s="631"/>
      <c r="G1545" s="631"/>
      <c r="H1545" s="833"/>
      <c r="I1545" s="834"/>
      <c r="J1545" s="834"/>
      <c r="K1545" s="835"/>
      <c r="L1545" s="835"/>
      <c r="M1545" s="835"/>
      <c r="N1545" s="835"/>
      <c r="O1545" s="835"/>
      <c r="P1545" s="835"/>
      <c r="Q1545" s="540"/>
      <c r="R1545" s="540"/>
      <c r="S1545" s="540"/>
      <c r="T1545" s="540"/>
      <c r="U1545" s="540"/>
      <c r="V1545" s="540"/>
      <c r="W1545" s="540"/>
      <c r="X1545" s="540"/>
      <c r="Y1545" s="540"/>
      <c r="Z1545" s="540"/>
    </row>
    <row r="1546" spans="1:26" ht="19">
      <c r="A1546" s="631"/>
      <c r="B1546" s="631"/>
      <c r="C1546" s="631"/>
      <c r="D1546" s="832"/>
      <c r="E1546" s="631"/>
      <c r="F1546" s="631"/>
      <c r="G1546" s="631"/>
      <c r="H1546" s="833"/>
      <c r="I1546" s="834"/>
      <c r="J1546" s="834"/>
      <c r="K1546" s="835"/>
      <c r="L1546" s="835"/>
      <c r="M1546" s="835"/>
      <c r="N1546" s="835"/>
      <c r="O1546" s="835"/>
      <c r="P1546" s="835"/>
      <c r="Q1546" s="540"/>
      <c r="R1546" s="540"/>
      <c r="S1546" s="540"/>
      <c r="T1546" s="540"/>
      <c r="U1546" s="540"/>
      <c r="V1546" s="540"/>
      <c r="W1546" s="540"/>
      <c r="X1546" s="540"/>
      <c r="Y1546" s="540"/>
      <c r="Z1546" s="540"/>
    </row>
    <row r="1547" spans="1:26" ht="19">
      <c r="A1547" s="631"/>
      <c r="B1547" s="631"/>
      <c r="C1547" s="631"/>
      <c r="D1547" s="832"/>
      <c r="E1547" s="631"/>
      <c r="F1547" s="631"/>
      <c r="G1547" s="631"/>
      <c r="H1547" s="833"/>
      <c r="I1547" s="834"/>
      <c r="J1547" s="834"/>
      <c r="K1547" s="835"/>
      <c r="L1547" s="835"/>
      <c r="M1547" s="835"/>
      <c r="N1547" s="835"/>
      <c r="O1547" s="835"/>
      <c r="P1547" s="835"/>
      <c r="Q1547" s="540"/>
      <c r="R1547" s="540"/>
      <c r="S1547" s="540"/>
      <c r="T1547" s="540"/>
      <c r="U1547" s="540"/>
      <c r="V1547" s="540"/>
      <c r="W1547" s="540"/>
      <c r="X1547" s="540"/>
      <c r="Y1547" s="540"/>
      <c r="Z1547" s="540"/>
    </row>
    <row r="1548" spans="1:26" ht="19">
      <c r="A1548" s="631"/>
      <c r="B1548" s="631"/>
      <c r="C1548" s="631"/>
      <c r="D1548" s="832"/>
      <c r="E1548" s="631"/>
      <c r="F1548" s="631"/>
      <c r="G1548" s="631"/>
      <c r="H1548" s="833"/>
      <c r="I1548" s="834"/>
      <c r="J1548" s="834"/>
      <c r="K1548" s="835"/>
      <c r="L1548" s="835"/>
      <c r="M1548" s="835"/>
      <c r="N1548" s="835"/>
      <c r="O1548" s="835"/>
      <c r="P1548" s="835"/>
      <c r="Q1548" s="540"/>
      <c r="R1548" s="540"/>
      <c r="S1548" s="540"/>
      <c r="T1548" s="540"/>
      <c r="U1548" s="540"/>
      <c r="V1548" s="540"/>
      <c r="W1548" s="540"/>
      <c r="X1548" s="540"/>
      <c r="Y1548" s="540"/>
      <c r="Z1548" s="540"/>
    </row>
    <row r="1549" spans="1:26" ht="19">
      <c r="A1549" s="631"/>
      <c r="B1549" s="631"/>
      <c r="C1549" s="631"/>
      <c r="D1549" s="832"/>
      <c r="E1549" s="631"/>
      <c r="F1549" s="631"/>
      <c r="G1549" s="631"/>
      <c r="H1549" s="833"/>
      <c r="I1549" s="834"/>
      <c r="J1549" s="834"/>
      <c r="K1549" s="835"/>
      <c r="L1549" s="835"/>
      <c r="M1549" s="835"/>
      <c r="N1549" s="835"/>
      <c r="O1549" s="835"/>
      <c r="P1549" s="835"/>
      <c r="Q1549" s="540"/>
      <c r="R1549" s="540"/>
      <c r="S1549" s="540"/>
      <c r="T1549" s="540"/>
      <c r="U1549" s="540"/>
      <c r="V1549" s="540"/>
      <c r="W1549" s="540"/>
      <c r="X1549" s="540"/>
      <c r="Y1549" s="540"/>
      <c r="Z1549" s="540"/>
    </row>
    <row r="1550" spans="1:26" ht="19">
      <c r="A1550" s="631"/>
      <c r="B1550" s="631"/>
      <c r="C1550" s="631"/>
      <c r="D1550" s="832"/>
      <c r="E1550" s="631"/>
      <c r="F1550" s="631"/>
      <c r="G1550" s="631"/>
      <c r="H1550" s="833"/>
      <c r="I1550" s="834"/>
      <c r="J1550" s="834"/>
      <c r="K1550" s="835"/>
      <c r="L1550" s="835"/>
      <c r="M1550" s="835"/>
      <c r="N1550" s="835"/>
      <c r="O1550" s="835"/>
      <c r="P1550" s="835"/>
      <c r="Q1550" s="540"/>
      <c r="R1550" s="540"/>
      <c r="S1550" s="540"/>
      <c r="T1550" s="540"/>
      <c r="U1550" s="540"/>
      <c r="V1550" s="540"/>
      <c r="W1550" s="540"/>
      <c r="X1550" s="540"/>
      <c r="Y1550" s="540"/>
      <c r="Z1550" s="540"/>
    </row>
    <row r="1551" spans="1:26" ht="19">
      <c r="A1551" s="631"/>
      <c r="B1551" s="631"/>
      <c r="C1551" s="631"/>
      <c r="D1551" s="832"/>
      <c r="E1551" s="631"/>
      <c r="F1551" s="631"/>
      <c r="G1551" s="631"/>
      <c r="H1551" s="833"/>
      <c r="I1551" s="834"/>
      <c r="J1551" s="834"/>
      <c r="K1551" s="835"/>
      <c r="L1551" s="835"/>
      <c r="M1551" s="835"/>
      <c r="N1551" s="835"/>
      <c r="O1551" s="835"/>
      <c r="P1551" s="835"/>
      <c r="Q1551" s="540"/>
      <c r="R1551" s="540"/>
      <c r="S1551" s="540"/>
      <c r="T1551" s="540"/>
      <c r="U1551" s="540"/>
      <c r="V1551" s="540"/>
      <c r="W1551" s="540"/>
      <c r="X1551" s="540"/>
      <c r="Y1551" s="540"/>
      <c r="Z1551" s="540"/>
    </row>
    <row r="1552" spans="1:26" ht="19">
      <c r="A1552" s="631"/>
      <c r="B1552" s="631"/>
      <c r="C1552" s="631"/>
      <c r="D1552" s="832"/>
      <c r="E1552" s="631"/>
      <c r="F1552" s="631"/>
      <c r="G1552" s="631"/>
      <c r="H1552" s="833"/>
      <c r="I1552" s="834"/>
      <c r="J1552" s="834"/>
      <c r="K1552" s="835"/>
      <c r="L1552" s="835"/>
      <c r="M1552" s="835"/>
      <c r="N1552" s="835"/>
      <c r="O1552" s="835"/>
      <c r="P1552" s="835"/>
      <c r="Q1552" s="540"/>
      <c r="R1552" s="540"/>
      <c r="S1552" s="540"/>
      <c r="T1552" s="540"/>
      <c r="U1552" s="540"/>
      <c r="V1552" s="540"/>
      <c r="W1552" s="540"/>
      <c r="X1552" s="540"/>
      <c r="Y1552" s="540"/>
      <c r="Z1552" s="540"/>
    </row>
    <row r="1553" spans="1:26" ht="19">
      <c r="A1553" s="631"/>
      <c r="B1553" s="631"/>
      <c r="C1553" s="631"/>
      <c r="D1553" s="832"/>
      <c r="E1553" s="631"/>
      <c r="F1553" s="631"/>
      <c r="G1553" s="631"/>
      <c r="H1553" s="833"/>
      <c r="I1553" s="834"/>
      <c r="J1553" s="834"/>
      <c r="K1553" s="835"/>
      <c r="L1553" s="835"/>
      <c r="M1553" s="835"/>
      <c r="N1553" s="835"/>
      <c r="O1553" s="835"/>
      <c r="P1553" s="835"/>
      <c r="Q1553" s="540"/>
      <c r="R1553" s="540"/>
      <c r="S1553" s="540"/>
      <c r="T1553" s="540"/>
      <c r="U1553" s="540"/>
      <c r="V1553" s="540"/>
      <c r="W1553" s="540"/>
      <c r="X1553" s="540"/>
      <c r="Y1553" s="540"/>
      <c r="Z1553" s="540"/>
    </row>
    <row r="1554" spans="1:26" ht="19">
      <c r="A1554" s="631"/>
      <c r="B1554" s="631"/>
      <c r="C1554" s="631"/>
      <c r="D1554" s="832"/>
      <c r="E1554" s="631"/>
      <c r="F1554" s="631"/>
      <c r="G1554" s="631"/>
      <c r="H1554" s="833"/>
      <c r="I1554" s="834"/>
      <c r="J1554" s="834"/>
      <c r="K1554" s="835"/>
      <c r="L1554" s="835"/>
      <c r="M1554" s="835"/>
      <c r="N1554" s="835"/>
      <c r="O1554" s="835"/>
      <c r="P1554" s="835"/>
      <c r="Q1554" s="540"/>
      <c r="R1554" s="540"/>
      <c r="S1554" s="540"/>
      <c r="T1554" s="540"/>
      <c r="U1554" s="540"/>
      <c r="V1554" s="540"/>
      <c r="W1554" s="540"/>
      <c r="X1554" s="540"/>
      <c r="Y1554" s="540"/>
      <c r="Z1554" s="540"/>
    </row>
    <row r="1555" spans="1:26" ht="19">
      <c r="A1555" s="631"/>
      <c r="B1555" s="631"/>
      <c r="C1555" s="631"/>
      <c r="D1555" s="832"/>
      <c r="E1555" s="631"/>
      <c r="F1555" s="631"/>
      <c r="G1555" s="631"/>
      <c r="H1555" s="833"/>
      <c r="I1555" s="834"/>
      <c r="J1555" s="834"/>
      <c r="K1555" s="835"/>
      <c r="L1555" s="835"/>
      <c r="M1555" s="835"/>
      <c r="N1555" s="835"/>
      <c r="O1555" s="835"/>
      <c r="P1555" s="835"/>
      <c r="Q1555" s="540"/>
      <c r="R1555" s="540"/>
      <c r="S1555" s="540"/>
      <c r="T1555" s="540"/>
      <c r="U1555" s="540"/>
      <c r="V1555" s="540"/>
      <c r="W1555" s="540"/>
      <c r="X1555" s="540"/>
      <c r="Y1555" s="540"/>
      <c r="Z1555" s="540"/>
    </row>
    <row r="1556" spans="1:26" ht="19">
      <c r="A1556" s="631"/>
      <c r="B1556" s="631"/>
      <c r="C1556" s="631"/>
      <c r="D1556" s="832"/>
      <c r="E1556" s="631"/>
      <c r="F1556" s="631"/>
      <c r="G1556" s="631"/>
      <c r="H1556" s="833"/>
      <c r="I1556" s="834"/>
      <c r="J1556" s="834"/>
      <c r="K1556" s="835"/>
      <c r="L1556" s="835"/>
      <c r="M1556" s="835"/>
      <c r="N1556" s="835"/>
      <c r="O1556" s="835"/>
      <c r="P1556" s="835"/>
      <c r="Q1556" s="540"/>
      <c r="R1556" s="540"/>
      <c r="S1556" s="540"/>
      <c r="T1556" s="540"/>
      <c r="U1556" s="540"/>
      <c r="V1556" s="540"/>
      <c r="W1556" s="540"/>
      <c r="X1556" s="540"/>
      <c r="Y1556" s="540"/>
      <c r="Z1556" s="540"/>
    </row>
    <row r="1557" spans="1:26" ht="19">
      <c r="A1557" s="631"/>
      <c r="B1557" s="631"/>
      <c r="C1557" s="631"/>
      <c r="D1557" s="832"/>
      <c r="E1557" s="631"/>
      <c r="F1557" s="631"/>
      <c r="G1557" s="631"/>
      <c r="H1557" s="833"/>
      <c r="I1557" s="834"/>
      <c r="J1557" s="834"/>
      <c r="K1557" s="835"/>
      <c r="L1557" s="835"/>
      <c r="M1557" s="835"/>
      <c r="N1557" s="835"/>
      <c r="O1557" s="835"/>
      <c r="P1557" s="835"/>
      <c r="Q1557" s="540"/>
      <c r="R1557" s="540"/>
      <c r="S1557" s="540"/>
      <c r="T1557" s="540"/>
      <c r="U1557" s="540"/>
      <c r="V1557" s="540"/>
      <c r="W1557" s="540"/>
      <c r="X1557" s="540"/>
      <c r="Y1557" s="540"/>
      <c r="Z1557" s="540"/>
    </row>
    <row r="1558" spans="1:26" ht="19">
      <c r="A1558" s="631"/>
      <c r="B1558" s="631"/>
      <c r="C1558" s="631"/>
      <c r="D1558" s="832"/>
      <c r="E1558" s="631"/>
      <c r="F1558" s="631"/>
      <c r="G1558" s="631"/>
      <c r="H1558" s="833"/>
      <c r="I1558" s="834"/>
      <c r="J1558" s="834"/>
      <c r="K1558" s="835"/>
      <c r="L1558" s="835"/>
      <c r="M1558" s="835"/>
      <c r="N1558" s="835"/>
      <c r="O1558" s="835"/>
      <c r="P1558" s="835"/>
      <c r="Q1558" s="540"/>
      <c r="R1558" s="540"/>
      <c r="S1558" s="540"/>
      <c r="T1558" s="540"/>
      <c r="U1558" s="540"/>
      <c r="V1558" s="540"/>
      <c r="W1558" s="540"/>
      <c r="X1558" s="540"/>
      <c r="Y1558" s="540"/>
      <c r="Z1558" s="540"/>
    </row>
    <row r="1559" spans="1:26" ht="19">
      <c r="A1559" s="631"/>
      <c r="B1559" s="631"/>
      <c r="C1559" s="631"/>
      <c r="D1559" s="832"/>
      <c r="E1559" s="631"/>
      <c r="F1559" s="631"/>
      <c r="G1559" s="631"/>
      <c r="H1559" s="833"/>
      <c r="I1559" s="834"/>
      <c r="J1559" s="834"/>
      <c r="K1559" s="835"/>
      <c r="L1559" s="835"/>
      <c r="M1559" s="835"/>
      <c r="N1559" s="835"/>
      <c r="O1559" s="835"/>
      <c r="P1559" s="835"/>
      <c r="Q1559" s="540"/>
      <c r="R1559" s="540"/>
      <c r="S1559" s="540"/>
      <c r="T1559" s="540"/>
      <c r="U1559" s="540"/>
      <c r="V1559" s="540"/>
      <c r="W1559" s="540"/>
      <c r="X1559" s="540"/>
      <c r="Y1559" s="540"/>
      <c r="Z1559" s="540"/>
    </row>
    <row r="1560" spans="1:26" ht="19">
      <c r="A1560" s="631"/>
      <c r="B1560" s="631"/>
      <c r="C1560" s="631"/>
      <c r="D1560" s="832"/>
      <c r="E1560" s="631"/>
      <c r="F1560" s="631"/>
      <c r="G1560" s="631"/>
      <c r="H1560" s="833"/>
      <c r="I1560" s="834"/>
      <c r="J1560" s="834"/>
      <c r="K1560" s="835"/>
      <c r="L1560" s="835"/>
      <c r="M1560" s="835"/>
      <c r="N1560" s="835"/>
      <c r="O1560" s="835"/>
      <c r="P1560" s="835"/>
      <c r="Q1560" s="540"/>
      <c r="R1560" s="540"/>
      <c r="S1560" s="540"/>
      <c r="T1560" s="540"/>
      <c r="U1560" s="540"/>
      <c r="V1560" s="540"/>
      <c r="W1560" s="540"/>
      <c r="X1560" s="540"/>
      <c r="Y1560" s="540"/>
      <c r="Z1560" s="540"/>
    </row>
    <row r="1561" spans="1:26" ht="19">
      <c r="A1561" s="631"/>
      <c r="B1561" s="631"/>
      <c r="C1561" s="631"/>
      <c r="D1561" s="832"/>
      <c r="E1561" s="631"/>
      <c r="F1561" s="631"/>
      <c r="G1561" s="631"/>
      <c r="H1561" s="833"/>
      <c r="I1561" s="834"/>
      <c r="J1561" s="834"/>
      <c r="K1561" s="835"/>
      <c r="L1561" s="835"/>
      <c r="M1561" s="835"/>
      <c r="N1561" s="835"/>
      <c r="O1561" s="835"/>
      <c r="P1561" s="835"/>
      <c r="Q1561" s="540"/>
      <c r="R1561" s="540"/>
      <c r="S1561" s="540"/>
      <c r="T1561" s="540"/>
      <c r="U1561" s="540"/>
      <c r="V1561" s="540"/>
      <c r="W1561" s="540"/>
      <c r="X1561" s="540"/>
      <c r="Y1561" s="540"/>
      <c r="Z1561" s="540"/>
    </row>
    <row r="1562" spans="1:26" ht="19">
      <c r="A1562" s="631"/>
      <c r="B1562" s="631"/>
      <c r="C1562" s="631"/>
      <c r="D1562" s="832"/>
      <c r="E1562" s="631"/>
      <c r="F1562" s="631"/>
      <c r="G1562" s="631"/>
      <c r="H1562" s="833"/>
      <c r="I1562" s="834"/>
      <c r="J1562" s="834"/>
      <c r="K1562" s="835"/>
      <c r="L1562" s="835"/>
      <c r="M1562" s="835"/>
      <c r="N1562" s="835"/>
      <c r="O1562" s="835"/>
      <c r="P1562" s="835"/>
      <c r="Q1562" s="540"/>
      <c r="R1562" s="540"/>
      <c r="S1562" s="540"/>
      <c r="T1562" s="540"/>
      <c r="U1562" s="540"/>
      <c r="V1562" s="540"/>
      <c r="W1562" s="540"/>
      <c r="X1562" s="540"/>
      <c r="Y1562" s="540"/>
      <c r="Z1562" s="540"/>
    </row>
    <row r="1563" spans="1:26" ht="19">
      <c r="A1563" s="631"/>
      <c r="B1563" s="631"/>
      <c r="C1563" s="631"/>
      <c r="D1563" s="832"/>
      <c r="E1563" s="631"/>
      <c r="F1563" s="631"/>
      <c r="G1563" s="631"/>
      <c r="H1563" s="833"/>
      <c r="I1563" s="834"/>
      <c r="J1563" s="834"/>
      <c r="K1563" s="835"/>
      <c r="L1563" s="835"/>
      <c r="M1563" s="835"/>
      <c r="N1563" s="835"/>
      <c r="O1563" s="835"/>
      <c r="P1563" s="835"/>
      <c r="Q1563" s="540"/>
      <c r="R1563" s="540"/>
      <c r="S1563" s="540"/>
      <c r="T1563" s="540"/>
      <c r="U1563" s="540"/>
      <c r="V1563" s="540"/>
      <c r="W1563" s="540"/>
      <c r="X1563" s="540"/>
      <c r="Y1563" s="540"/>
      <c r="Z1563" s="540"/>
    </row>
    <row r="1564" spans="1:26" ht="19">
      <c r="A1564" s="631"/>
      <c r="B1564" s="631"/>
      <c r="C1564" s="631"/>
      <c r="D1564" s="832"/>
      <c r="E1564" s="631"/>
      <c r="F1564" s="631"/>
      <c r="G1564" s="631"/>
      <c r="H1564" s="833"/>
      <c r="I1564" s="834"/>
      <c r="J1564" s="834"/>
      <c r="K1564" s="835"/>
      <c r="L1564" s="835"/>
      <c r="M1564" s="835"/>
      <c r="N1564" s="835"/>
      <c r="O1564" s="835"/>
      <c r="P1564" s="835"/>
      <c r="Q1564" s="540"/>
      <c r="R1564" s="540"/>
      <c r="S1564" s="540"/>
      <c r="T1564" s="540"/>
      <c r="U1564" s="540"/>
      <c r="V1564" s="540"/>
      <c r="W1564" s="540"/>
      <c r="X1564" s="540"/>
      <c r="Y1564" s="540"/>
      <c r="Z1564" s="540"/>
    </row>
    <row r="1565" spans="1:26" ht="19">
      <c r="A1565" s="631"/>
      <c r="B1565" s="631"/>
      <c r="C1565" s="631"/>
      <c r="D1565" s="832"/>
      <c r="E1565" s="631"/>
      <c r="F1565" s="631"/>
      <c r="G1565" s="631"/>
      <c r="H1565" s="833"/>
      <c r="I1565" s="834"/>
      <c r="J1565" s="834"/>
      <c r="K1565" s="835"/>
      <c r="L1565" s="835"/>
      <c r="M1565" s="835"/>
      <c r="N1565" s="835"/>
      <c r="O1565" s="835"/>
      <c r="P1565" s="835"/>
      <c r="Q1565" s="540"/>
      <c r="R1565" s="540"/>
      <c r="S1565" s="540"/>
      <c r="T1565" s="540"/>
      <c r="U1565" s="540"/>
      <c r="V1565" s="540"/>
      <c r="W1565" s="540"/>
      <c r="X1565" s="540"/>
      <c r="Y1565" s="540"/>
      <c r="Z1565" s="540"/>
    </row>
    <row r="1566" spans="1:26" ht="19">
      <c r="A1566" s="631"/>
      <c r="B1566" s="631"/>
      <c r="C1566" s="631"/>
      <c r="D1566" s="832"/>
      <c r="E1566" s="631"/>
      <c r="F1566" s="631"/>
      <c r="G1566" s="631"/>
      <c r="H1566" s="833"/>
      <c r="I1566" s="834"/>
      <c r="J1566" s="834"/>
      <c r="K1566" s="835"/>
      <c r="L1566" s="835"/>
      <c r="M1566" s="835"/>
      <c r="N1566" s="835"/>
      <c r="O1566" s="835"/>
      <c r="P1566" s="835"/>
      <c r="Q1566" s="540"/>
      <c r="R1566" s="540"/>
      <c r="S1566" s="540"/>
      <c r="T1566" s="540"/>
      <c r="U1566" s="540"/>
      <c r="V1566" s="540"/>
      <c r="W1566" s="540"/>
      <c r="X1566" s="540"/>
      <c r="Y1566" s="540"/>
      <c r="Z1566" s="540"/>
    </row>
    <row r="1567" spans="1:26" ht="19">
      <c r="A1567" s="631"/>
      <c r="B1567" s="631"/>
      <c r="C1567" s="631"/>
      <c r="D1567" s="832"/>
      <c r="E1567" s="631"/>
      <c r="F1567" s="631"/>
      <c r="G1567" s="631"/>
      <c r="H1567" s="833"/>
      <c r="I1567" s="834"/>
      <c r="J1567" s="834"/>
      <c r="K1567" s="835"/>
      <c r="L1567" s="835"/>
      <c r="M1567" s="835"/>
      <c r="N1567" s="835"/>
      <c r="O1567" s="835"/>
      <c r="P1567" s="835"/>
      <c r="Q1567" s="540"/>
      <c r="R1567" s="540"/>
      <c r="S1567" s="540"/>
      <c r="T1567" s="540"/>
      <c r="U1567" s="540"/>
      <c r="V1567" s="540"/>
      <c r="W1567" s="540"/>
      <c r="X1567" s="540"/>
      <c r="Y1567" s="540"/>
      <c r="Z1567" s="540"/>
    </row>
    <row r="1568" spans="1:26" ht="19">
      <c r="A1568" s="631"/>
      <c r="B1568" s="631"/>
      <c r="C1568" s="631"/>
      <c r="D1568" s="832"/>
      <c r="E1568" s="631"/>
      <c r="F1568" s="631"/>
      <c r="G1568" s="631"/>
      <c r="H1568" s="833"/>
      <c r="I1568" s="834"/>
      <c r="J1568" s="834"/>
      <c r="K1568" s="835"/>
      <c r="L1568" s="835"/>
      <c r="M1568" s="835"/>
      <c r="N1568" s="835"/>
      <c r="O1568" s="835"/>
      <c r="P1568" s="835"/>
      <c r="Q1568" s="540"/>
      <c r="R1568" s="540"/>
      <c r="S1568" s="540"/>
      <c r="T1568" s="540"/>
      <c r="U1568" s="540"/>
      <c r="V1568" s="540"/>
      <c r="W1568" s="540"/>
      <c r="X1568" s="540"/>
      <c r="Y1568" s="540"/>
      <c r="Z1568" s="540"/>
    </row>
    <row r="1569" spans="1:26" ht="19">
      <c r="A1569" s="631"/>
      <c r="B1569" s="631"/>
      <c r="C1569" s="631"/>
      <c r="D1569" s="832"/>
      <c r="E1569" s="631"/>
      <c r="F1569" s="631"/>
      <c r="G1569" s="631"/>
      <c r="H1569" s="833"/>
      <c r="I1569" s="834"/>
      <c r="J1569" s="834"/>
      <c r="K1569" s="835"/>
      <c r="L1569" s="835"/>
      <c r="M1569" s="835"/>
      <c r="N1569" s="835"/>
      <c r="O1569" s="835"/>
      <c r="P1569" s="835"/>
      <c r="Q1569" s="540"/>
      <c r="R1569" s="540"/>
      <c r="S1569" s="540"/>
      <c r="T1569" s="540"/>
      <c r="U1569" s="540"/>
      <c r="V1569" s="540"/>
      <c r="W1569" s="540"/>
      <c r="X1569" s="540"/>
      <c r="Y1569" s="540"/>
      <c r="Z1569" s="540"/>
    </row>
    <row r="1570" spans="1:26" ht="19">
      <c r="A1570" s="631"/>
      <c r="B1570" s="631"/>
      <c r="C1570" s="631"/>
      <c r="D1570" s="832"/>
      <c r="E1570" s="631"/>
      <c r="F1570" s="631"/>
      <c r="G1570" s="631"/>
      <c r="H1570" s="833"/>
      <c r="I1570" s="834"/>
      <c r="J1570" s="834"/>
      <c r="K1570" s="835"/>
      <c r="L1570" s="835"/>
      <c r="M1570" s="835"/>
      <c r="N1570" s="835"/>
      <c r="O1570" s="835"/>
      <c r="P1570" s="835"/>
      <c r="Q1570" s="540"/>
      <c r="R1570" s="540"/>
      <c r="S1570" s="540"/>
      <c r="T1570" s="540"/>
      <c r="U1570" s="540"/>
      <c r="V1570" s="540"/>
      <c r="W1570" s="540"/>
      <c r="X1570" s="540"/>
      <c r="Y1570" s="540"/>
      <c r="Z1570" s="540"/>
    </row>
    <row r="1571" spans="1:26" ht="19">
      <c r="A1571" s="631"/>
      <c r="B1571" s="631"/>
      <c r="C1571" s="631"/>
      <c r="D1571" s="832"/>
      <c r="E1571" s="631"/>
      <c r="F1571" s="631"/>
      <c r="G1571" s="631"/>
      <c r="H1571" s="833"/>
      <c r="I1571" s="834"/>
      <c r="J1571" s="834"/>
      <c r="K1571" s="835"/>
      <c r="L1571" s="835"/>
      <c r="M1571" s="835"/>
      <c r="N1571" s="835"/>
      <c r="O1571" s="835"/>
      <c r="P1571" s="835"/>
      <c r="Q1571" s="540"/>
      <c r="R1571" s="540"/>
      <c r="S1571" s="540"/>
      <c r="T1571" s="540"/>
      <c r="U1571" s="540"/>
      <c r="V1571" s="540"/>
      <c r="W1571" s="540"/>
      <c r="X1571" s="540"/>
      <c r="Y1571" s="540"/>
      <c r="Z1571" s="540"/>
    </row>
    <row r="1572" spans="1:26" ht="19">
      <c r="A1572" s="631"/>
      <c r="B1572" s="631"/>
      <c r="C1572" s="631"/>
      <c r="D1572" s="832"/>
      <c r="E1572" s="631"/>
      <c r="F1572" s="631"/>
      <c r="G1572" s="631"/>
      <c r="H1572" s="833"/>
      <c r="I1572" s="834"/>
      <c r="J1572" s="834"/>
      <c r="K1572" s="835"/>
      <c r="L1572" s="835"/>
      <c r="M1572" s="835"/>
      <c r="N1572" s="835"/>
      <c r="O1572" s="835"/>
      <c r="P1572" s="835"/>
      <c r="Q1572" s="540"/>
      <c r="R1572" s="540"/>
      <c r="S1572" s="540"/>
      <c r="T1572" s="540"/>
      <c r="U1572" s="540"/>
      <c r="V1572" s="540"/>
      <c r="W1572" s="540"/>
      <c r="X1572" s="540"/>
      <c r="Y1572" s="540"/>
      <c r="Z1572" s="540"/>
    </row>
    <row r="1573" spans="1:26" ht="19">
      <c r="A1573" s="631"/>
      <c r="B1573" s="631"/>
      <c r="C1573" s="631"/>
      <c r="D1573" s="832"/>
      <c r="E1573" s="631"/>
      <c r="F1573" s="631"/>
      <c r="G1573" s="631"/>
      <c r="H1573" s="833"/>
      <c r="I1573" s="834"/>
      <c r="J1573" s="834"/>
      <c r="K1573" s="835"/>
      <c r="L1573" s="835"/>
      <c r="M1573" s="835"/>
      <c r="N1573" s="835"/>
      <c r="O1573" s="835"/>
      <c r="P1573" s="835"/>
      <c r="Q1573" s="540"/>
      <c r="R1573" s="540"/>
      <c r="S1573" s="540"/>
      <c r="T1573" s="540"/>
      <c r="U1573" s="540"/>
      <c r="V1573" s="540"/>
      <c r="W1573" s="540"/>
      <c r="X1573" s="540"/>
      <c r="Y1573" s="540"/>
      <c r="Z1573" s="540"/>
    </row>
    <row r="1574" spans="1:26" ht="19">
      <c r="A1574" s="631"/>
      <c r="B1574" s="631"/>
      <c r="C1574" s="631"/>
      <c r="D1574" s="832"/>
      <c r="E1574" s="631"/>
      <c r="F1574" s="631"/>
      <c r="G1574" s="631"/>
      <c r="H1574" s="833"/>
      <c r="I1574" s="834"/>
      <c r="J1574" s="834"/>
      <c r="K1574" s="835"/>
      <c r="L1574" s="835"/>
      <c r="M1574" s="835"/>
      <c r="N1574" s="835"/>
      <c r="O1574" s="835"/>
      <c r="P1574" s="835"/>
      <c r="Q1574" s="540"/>
      <c r="R1574" s="540"/>
      <c r="S1574" s="540"/>
      <c r="T1574" s="540"/>
      <c r="U1574" s="540"/>
      <c r="V1574" s="540"/>
      <c r="W1574" s="540"/>
      <c r="X1574" s="540"/>
      <c r="Y1574" s="540"/>
      <c r="Z1574" s="540"/>
    </row>
    <row r="1575" spans="1:26" ht="19">
      <c r="A1575" s="631"/>
      <c r="B1575" s="631"/>
      <c r="C1575" s="631"/>
      <c r="D1575" s="832"/>
      <c r="E1575" s="631"/>
      <c r="F1575" s="631"/>
      <c r="G1575" s="631"/>
      <c r="H1575" s="833"/>
      <c r="I1575" s="834"/>
      <c r="J1575" s="834"/>
      <c r="K1575" s="835"/>
      <c r="L1575" s="835"/>
      <c r="M1575" s="835"/>
      <c r="N1575" s="835"/>
      <c r="O1575" s="835"/>
      <c r="P1575" s="835"/>
      <c r="Q1575" s="540"/>
      <c r="R1575" s="540"/>
      <c r="S1575" s="540"/>
      <c r="T1575" s="540"/>
      <c r="U1575" s="540"/>
      <c r="V1575" s="540"/>
      <c r="W1575" s="540"/>
      <c r="X1575" s="540"/>
      <c r="Y1575" s="540"/>
      <c r="Z1575" s="540"/>
    </row>
    <row r="1576" spans="1:26" ht="19">
      <c r="A1576" s="631"/>
      <c r="B1576" s="631"/>
      <c r="C1576" s="631"/>
      <c r="D1576" s="832"/>
      <c r="E1576" s="631"/>
      <c r="F1576" s="631"/>
      <c r="G1576" s="631"/>
      <c r="H1576" s="833"/>
      <c r="I1576" s="834"/>
      <c r="J1576" s="834"/>
      <c r="K1576" s="835"/>
      <c r="L1576" s="835"/>
      <c r="M1576" s="835"/>
      <c r="N1576" s="835"/>
      <c r="O1576" s="835"/>
      <c r="P1576" s="835"/>
      <c r="Q1576" s="540"/>
      <c r="R1576" s="540"/>
      <c r="S1576" s="540"/>
      <c r="T1576" s="540"/>
      <c r="U1576" s="540"/>
      <c r="V1576" s="540"/>
      <c r="W1576" s="540"/>
      <c r="X1576" s="540"/>
      <c r="Y1576" s="540"/>
      <c r="Z1576" s="540"/>
    </row>
    <row r="1577" spans="1:26" ht="19">
      <c r="A1577" s="631"/>
      <c r="B1577" s="631"/>
      <c r="C1577" s="631"/>
      <c r="D1577" s="832"/>
      <c r="E1577" s="631"/>
      <c r="F1577" s="631"/>
      <c r="G1577" s="631"/>
      <c r="H1577" s="833"/>
      <c r="I1577" s="834"/>
      <c r="J1577" s="834"/>
      <c r="K1577" s="835"/>
      <c r="L1577" s="835"/>
      <c r="M1577" s="835"/>
      <c r="N1577" s="835"/>
      <c r="O1577" s="835"/>
      <c r="P1577" s="835"/>
      <c r="Q1577" s="540"/>
      <c r="R1577" s="540"/>
      <c r="S1577" s="540"/>
      <c r="T1577" s="540"/>
      <c r="U1577" s="540"/>
      <c r="V1577" s="540"/>
      <c r="W1577" s="540"/>
      <c r="X1577" s="540"/>
      <c r="Y1577" s="540"/>
      <c r="Z1577" s="540"/>
    </row>
    <row r="1578" spans="1:26" ht="19">
      <c r="A1578" s="631"/>
      <c r="B1578" s="631"/>
      <c r="C1578" s="631"/>
      <c r="D1578" s="832"/>
      <c r="E1578" s="631"/>
      <c r="F1578" s="631"/>
      <c r="G1578" s="631"/>
      <c r="H1578" s="833"/>
      <c r="I1578" s="834"/>
      <c r="J1578" s="834"/>
      <c r="K1578" s="835"/>
      <c r="L1578" s="835"/>
      <c r="M1578" s="835"/>
      <c r="N1578" s="835"/>
      <c r="O1578" s="835"/>
      <c r="P1578" s="835"/>
      <c r="Q1578" s="540"/>
      <c r="R1578" s="540"/>
      <c r="S1578" s="540"/>
      <c r="T1578" s="540"/>
      <c r="U1578" s="540"/>
      <c r="V1578" s="540"/>
      <c r="W1578" s="540"/>
      <c r="X1578" s="540"/>
      <c r="Y1578" s="540"/>
      <c r="Z1578" s="540"/>
    </row>
    <row r="1579" spans="1:26" ht="19">
      <c r="A1579" s="631"/>
      <c r="B1579" s="631"/>
      <c r="C1579" s="631"/>
      <c r="D1579" s="832"/>
      <c r="E1579" s="631"/>
      <c r="F1579" s="631"/>
      <c r="G1579" s="631"/>
      <c r="H1579" s="833"/>
      <c r="I1579" s="834"/>
      <c r="J1579" s="834"/>
      <c r="K1579" s="835"/>
      <c r="L1579" s="835"/>
      <c r="M1579" s="835"/>
      <c r="N1579" s="835"/>
      <c r="O1579" s="835"/>
      <c r="P1579" s="835"/>
      <c r="Q1579" s="540"/>
      <c r="R1579" s="540"/>
      <c r="S1579" s="540"/>
      <c r="T1579" s="540"/>
      <c r="U1579" s="540"/>
      <c r="V1579" s="540"/>
      <c r="W1579" s="540"/>
      <c r="X1579" s="540"/>
      <c r="Y1579" s="540"/>
      <c r="Z1579" s="540"/>
    </row>
    <row r="1580" spans="1:26" ht="19">
      <c r="A1580" s="631"/>
      <c r="B1580" s="631"/>
      <c r="C1580" s="631"/>
      <c r="D1580" s="832"/>
      <c r="E1580" s="631"/>
      <c r="F1580" s="631"/>
      <c r="G1580" s="631"/>
      <c r="H1580" s="833"/>
      <c r="I1580" s="834"/>
      <c r="J1580" s="834"/>
      <c r="K1580" s="835"/>
      <c r="L1580" s="835"/>
      <c r="M1580" s="835"/>
      <c r="N1580" s="835"/>
      <c r="O1580" s="835"/>
      <c r="P1580" s="835"/>
      <c r="Q1580" s="540"/>
      <c r="R1580" s="540"/>
      <c r="S1580" s="540"/>
      <c r="T1580" s="540"/>
      <c r="U1580" s="540"/>
      <c r="V1580" s="540"/>
      <c r="W1580" s="540"/>
      <c r="X1580" s="540"/>
      <c r="Y1580" s="540"/>
      <c r="Z1580" s="540"/>
    </row>
    <row r="1581" spans="1:26" ht="19">
      <c r="A1581" s="631"/>
      <c r="B1581" s="631"/>
      <c r="C1581" s="631"/>
      <c r="D1581" s="832"/>
      <c r="E1581" s="631"/>
      <c r="F1581" s="631"/>
      <c r="G1581" s="631"/>
      <c r="H1581" s="833"/>
      <c r="I1581" s="834"/>
      <c r="J1581" s="834"/>
      <c r="K1581" s="835"/>
      <c r="L1581" s="835"/>
      <c r="M1581" s="835"/>
      <c r="N1581" s="835"/>
      <c r="O1581" s="835"/>
      <c r="P1581" s="835"/>
      <c r="Q1581" s="540"/>
      <c r="R1581" s="540"/>
      <c r="S1581" s="540"/>
      <c r="T1581" s="540"/>
      <c r="U1581" s="540"/>
      <c r="V1581" s="540"/>
      <c r="W1581" s="540"/>
      <c r="X1581" s="540"/>
      <c r="Y1581" s="540"/>
      <c r="Z1581" s="540"/>
    </row>
    <row r="1582" spans="1:26" ht="19">
      <c r="A1582" s="631"/>
      <c r="B1582" s="631"/>
      <c r="C1582" s="631"/>
      <c r="D1582" s="832"/>
      <c r="E1582" s="631"/>
      <c r="F1582" s="631"/>
      <c r="G1582" s="631"/>
      <c r="H1582" s="833"/>
      <c r="I1582" s="834"/>
      <c r="J1582" s="834"/>
      <c r="K1582" s="835"/>
      <c r="L1582" s="835"/>
      <c r="M1582" s="835"/>
      <c r="N1582" s="835"/>
      <c r="O1582" s="835"/>
      <c r="P1582" s="835"/>
      <c r="Q1582" s="540"/>
      <c r="R1582" s="540"/>
      <c r="S1582" s="540"/>
      <c r="T1582" s="540"/>
      <c r="U1582" s="540"/>
      <c r="V1582" s="540"/>
      <c r="W1582" s="540"/>
      <c r="X1582" s="540"/>
      <c r="Y1582" s="540"/>
      <c r="Z1582" s="540"/>
    </row>
    <row r="1583" spans="1:26" ht="19">
      <c r="A1583" s="631"/>
      <c r="B1583" s="631"/>
      <c r="C1583" s="631"/>
      <c r="D1583" s="832"/>
      <c r="E1583" s="631"/>
      <c r="F1583" s="631"/>
      <c r="G1583" s="631"/>
      <c r="H1583" s="833"/>
      <c r="I1583" s="834"/>
      <c r="J1583" s="834"/>
      <c r="K1583" s="835"/>
      <c r="L1583" s="835"/>
      <c r="M1583" s="835"/>
      <c r="N1583" s="835"/>
      <c r="O1583" s="835"/>
      <c r="P1583" s="835"/>
      <c r="Q1583" s="540"/>
      <c r="R1583" s="540"/>
      <c r="S1583" s="540"/>
      <c r="T1583" s="540"/>
      <c r="U1583" s="540"/>
      <c r="V1583" s="540"/>
      <c r="W1583" s="540"/>
      <c r="X1583" s="540"/>
      <c r="Y1583" s="540"/>
      <c r="Z1583" s="540"/>
    </row>
    <row r="1584" spans="1:26" ht="19">
      <c r="A1584" s="631"/>
      <c r="B1584" s="631"/>
      <c r="C1584" s="631"/>
      <c r="D1584" s="832"/>
      <c r="E1584" s="631"/>
      <c r="F1584" s="631"/>
      <c r="G1584" s="631"/>
      <c r="H1584" s="833"/>
      <c r="I1584" s="834"/>
      <c r="J1584" s="834"/>
      <c r="K1584" s="835"/>
      <c r="L1584" s="835"/>
      <c r="M1584" s="835"/>
      <c r="N1584" s="835"/>
      <c r="O1584" s="835"/>
      <c r="P1584" s="835"/>
      <c r="Q1584" s="540"/>
      <c r="R1584" s="540"/>
      <c r="S1584" s="540"/>
      <c r="T1584" s="540"/>
      <c r="U1584" s="540"/>
      <c r="V1584" s="540"/>
      <c r="W1584" s="540"/>
      <c r="X1584" s="540"/>
      <c r="Y1584" s="540"/>
      <c r="Z1584" s="540"/>
    </row>
    <row r="1585" spans="1:26" ht="19">
      <c r="A1585" s="631"/>
      <c r="B1585" s="631"/>
      <c r="C1585" s="631"/>
      <c r="D1585" s="832"/>
      <c r="E1585" s="631"/>
      <c r="F1585" s="631"/>
      <c r="G1585" s="631"/>
      <c r="H1585" s="833"/>
      <c r="I1585" s="834"/>
      <c r="J1585" s="834"/>
      <c r="K1585" s="835"/>
      <c r="L1585" s="835"/>
      <c r="M1585" s="835"/>
      <c r="N1585" s="835"/>
      <c r="O1585" s="835"/>
      <c r="P1585" s="835"/>
      <c r="Q1585" s="540"/>
      <c r="R1585" s="540"/>
      <c r="S1585" s="540"/>
      <c r="T1585" s="540"/>
      <c r="U1585" s="540"/>
      <c r="V1585" s="540"/>
      <c r="W1585" s="540"/>
      <c r="X1585" s="540"/>
      <c r="Y1585" s="540"/>
      <c r="Z1585" s="540"/>
    </row>
    <row r="1586" spans="1:26" ht="19">
      <c r="A1586" s="631"/>
      <c r="B1586" s="631"/>
      <c r="C1586" s="631"/>
      <c r="D1586" s="832"/>
      <c r="E1586" s="631"/>
      <c r="F1586" s="631"/>
      <c r="G1586" s="631"/>
      <c r="H1586" s="833"/>
      <c r="I1586" s="834"/>
      <c r="J1586" s="834"/>
      <c r="K1586" s="835"/>
      <c r="L1586" s="835"/>
      <c r="M1586" s="835"/>
      <c r="N1586" s="835"/>
      <c r="O1586" s="835"/>
      <c r="P1586" s="835"/>
      <c r="Q1586" s="540"/>
      <c r="R1586" s="540"/>
      <c r="S1586" s="540"/>
      <c r="T1586" s="540"/>
      <c r="U1586" s="540"/>
      <c r="V1586" s="540"/>
      <c r="W1586" s="540"/>
      <c r="X1586" s="540"/>
      <c r="Y1586" s="540"/>
      <c r="Z1586" s="540"/>
    </row>
    <row r="1587" spans="1:26" ht="19">
      <c r="A1587" s="631"/>
      <c r="B1587" s="631"/>
      <c r="C1587" s="631"/>
      <c r="D1587" s="832"/>
      <c r="E1587" s="631"/>
      <c r="F1587" s="631"/>
      <c r="G1587" s="631"/>
      <c r="H1587" s="833"/>
      <c r="I1587" s="834"/>
      <c r="J1587" s="834"/>
      <c r="K1587" s="835"/>
      <c r="L1587" s="835"/>
      <c r="M1587" s="835"/>
      <c r="N1587" s="835"/>
      <c r="O1587" s="835"/>
      <c r="P1587" s="835"/>
      <c r="Q1587" s="540"/>
      <c r="R1587" s="540"/>
      <c r="S1587" s="540"/>
      <c r="T1587" s="540"/>
      <c r="U1587" s="540"/>
      <c r="V1587" s="540"/>
      <c r="W1587" s="540"/>
      <c r="X1587" s="540"/>
      <c r="Y1587" s="540"/>
      <c r="Z1587" s="540"/>
    </row>
    <row r="1588" spans="1:26" ht="19">
      <c r="A1588" s="631"/>
      <c r="B1588" s="631"/>
      <c r="C1588" s="631"/>
      <c r="D1588" s="832"/>
      <c r="E1588" s="631"/>
      <c r="F1588" s="631"/>
      <c r="G1588" s="631"/>
      <c r="H1588" s="833"/>
      <c r="I1588" s="834"/>
      <c r="J1588" s="834"/>
      <c r="K1588" s="835"/>
      <c r="L1588" s="835"/>
      <c r="M1588" s="835"/>
      <c r="N1588" s="835"/>
      <c r="O1588" s="835"/>
      <c r="P1588" s="835"/>
      <c r="Q1588" s="540"/>
      <c r="R1588" s="540"/>
      <c r="S1588" s="540"/>
      <c r="T1588" s="540"/>
      <c r="U1588" s="540"/>
      <c r="V1588" s="540"/>
      <c r="W1588" s="540"/>
      <c r="X1588" s="540"/>
      <c r="Y1588" s="540"/>
      <c r="Z1588" s="540"/>
    </row>
    <row r="1589" spans="1:26" ht="19">
      <c r="A1589" s="631"/>
      <c r="B1589" s="631"/>
      <c r="C1589" s="631"/>
      <c r="D1589" s="832"/>
      <c r="E1589" s="631"/>
      <c r="F1589" s="631"/>
      <c r="G1589" s="631"/>
      <c r="H1589" s="833"/>
      <c r="I1589" s="834"/>
      <c r="J1589" s="834"/>
      <c r="K1589" s="835"/>
      <c r="L1589" s="835"/>
      <c r="M1589" s="835"/>
      <c r="N1589" s="835"/>
      <c r="O1589" s="835"/>
      <c r="P1589" s="835"/>
      <c r="Q1589" s="540"/>
      <c r="R1589" s="540"/>
      <c r="S1589" s="540"/>
      <c r="T1589" s="540"/>
      <c r="U1589" s="540"/>
      <c r="V1589" s="540"/>
      <c r="W1589" s="540"/>
      <c r="X1589" s="540"/>
      <c r="Y1589" s="540"/>
      <c r="Z1589" s="540"/>
    </row>
    <row r="1590" spans="1:26" ht="19">
      <c r="A1590" s="631"/>
      <c r="B1590" s="631"/>
      <c r="C1590" s="631"/>
      <c r="D1590" s="832"/>
      <c r="E1590" s="631"/>
      <c r="F1590" s="631"/>
      <c r="G1590" s="631"/>
      <c r="H1590" s="833"/>
      <c r="I1590" s="834"/>
      <c r="J1590" s="834"/>
      <c r="K1590" s="835"/>
      <c r="L1590" s="835"/>
      <c r="M1590" s="835"/>
      <c r="N1590" s="835"/>
      <c r="O1590" s="835"/>
      <c r="P1590" s="835"/>
      <c r="Q1590" s="540"/>
      <c r="R1590" s="540"/>
      <c r="S1590" s="540"/>
      <c r="T1590" s="540"/>
      <c r="U1590" s="540"/>
      <c r="V1590" s="540"/>
      <c r="W1590" s="540"/>
      <c r="X1590" s="540"/>
      <c r="Y1590" s="540"/>
      <c r="Z1590" s="540"/>
    </row>
    <row r="1591" spans="1:26" ht="19">
      <c r="A1591" s="631"/>
      <c r="B1591" s="631"/>
      <c r="C1591" s="631"/>
      <c r="D1591" s="832"/>
      <c r="E1591" s="631"/>
      <c r="F1591" s="631"/>
      <c r="G1591" s="631"/>
      <c r="H1591" s="833"/>
      <c r="I1591" s="834"/>
      <c r="J1591" s="834"/>
      <c r="K1591" s="835"/>
      <c r="L1591" s="835"/>
      <c r="M1591" s="835"/>
      <c r="N1591" s="835"/>
      <c r="O1591" s="835"/>
      <c r="P1591" s="835"/>
      <c r="Q1591" s="540"/>
      <c r="R1591" s="540"/>
      <c r="S1591" s="540"/>
      <c r="T1591" s="540"/>
      <c r="U1591" s="540"/>
      <c r="V1591" s="540"/>
      <c r="W1591" s="540"/>
      <c r="X1591" s="540"/>
      <c r="Y1591" s="540"/>
      <c r="Z1591" s="540"/>
    </row>
    <row r="1592" spans="1:26" ht="19">
      <c r="A1592" s="631"/>
      <c r="B1592" s="631"/>
      <c r="C1592" s="631"/>
      <c r="D1592" s="832"/>
      <c r="E1592" s="631"/>
      <c r="F1592" s="631"/>
      <c r="G1592" s="631"/>
      <c r="H1592" s="833"/>
      <c r="I1592" s="834"/>
      <c r="J1592" s="834"/>
      <c r="K1592" s="835"/>
      <c r="L1592" s="835"/>
      <c r="M1592" s="835"/>
      <c r="N1592" s="835"/>
      <c r="O1592" s="835"/>
      <c r="P1592" s="835"/>
      <c r="Q1592" s="540"/>
      <c r="R1592" s="540"/>
      <c r="S1592" s="540"/>
      <c r="T1592" s="540"/>
      <c r="U1592" s="540"/>
      <c r="V1592" s="540"/>
      <c r="W1592" s="540"/>
      <c r="X1592" s="540"/>
      <c r="Y1592" s="540"/>
      <c r="Z1592" s="540"/>
    </row>
    <row r="1593" spans="1:26" ht="19">
      <c r="A1593" s="631"/>
      <c r="B1593" s="631"/>
      <c r="C1593" s="631"/>
      <c r="D1593" s="832"/>
      <c r="E1593" s="631"/>
      <c r="F1593" s="631"/>
      <c r="G1593" s="631"/>
      <c r="H1593" s="833"/>
      <c r="I1593" s="834"/>
      <c r="J1593" s="834"/>
      <c r="K1593" s="835"/>
      <c r="L1593" s="835"/>
      <c r="M1593" s="835"/>
      <c r="N1593" s="835"/>
      <c r="O1593" s="835"/>
      <c r="P1593" s="835"/>
      <c r="Q1593" s="540"/>
      <c r="R1593" s="540"/>
      <c r="S1593" s="540"/>
      <c r="T1593" s="540"/>
      <c r="U1593" s="540"/>
      <c r="V1593" s="540"/>
      <c r="W1593" s="540"/>
      <c r="X1593" s="540"/>
      <c r="Y1593" s="540"/>
      <c r="Z1593" s="540"/>
    </row>
    <row r="1594" spans="1:26" ht="19">
      <c r="A1594" s="631"/>
      <c r="B1594" s="631"/>
      <c r="C1594" s="631"/>
      <c r="D1594" s="832"/>
      <c r="E1594" s="631"/>
      <c r="F1594" s="631"/>
      <c r="G1594" s="631"/>
      <c r="H1594" s="833"/>
      <c r="I1594" s="834"/>
      <c r="J1594" s="834"/>
      <c r="K1594" s="835"/>
      <c r="L1594" s="835"/>
      <c r="M1594" s="835"/>
      <c r="N1594" s="835"/>
      <c r="O1594" s="835"/>
      <c r="P1594" s="835"/>
      <c r="Q1594" s="540"/>
      <c r="R1594" s="540"/>
      <c r="S1594" s="540"/>
      <c r="T1594" s="540"/>
      <c r="U1594" s="540"/>
      <c r="V1594" s="540"/>
      <c r="W1594" s="540"/>
      <c r="X1594" s="540"/>
      <c r="Y1594" s="540"/>
      <c r="Z1594" s="540"/>
    </row>
    <row r="1595" spans="1:26" ht="19">
      <c r="A1595" s="631"/>
      <c r="B1595" s="631"/>
      <c r="C1595" s="631"/>
      <c r="D1595" s="832"/>
      <c r="E1595" s="631"/>
      <c r="F1595" s="631"/>
      <c r="G1595" s="631"/>
      <c r="H1595" s="833"/>
      <c r="I1595" s="834"/>
      <c r="J1595" s="834"/>
      <c r="K1595" s="835"/>
      <c r="L1595" s="835"/>
      <c r="M1595" s="835"/>
      <c r="N1595" s="835"/>
      <c r="O1595" s="835"/>
      <c r="P1595" s="835"/>
      <c r="Q1595" s="540"/>
      <c r="R1595" s="540"/>
      <c r="S1595" s="540"/>
      <c r="T1595" s="540"/>
      <c r="U1595" s="540"/>
      <c r="V1595" s="540"/>
      <c r="W1595" s="540"/>
      <c r="X1595" s="540"/>
      <c r="Y1595" s="540"/>
      <c r="Z1595" s="540"/>
    </row>
    <row r="1596" spans="1:26" ht="19">
      <c r="A1596" s="631"/>
      <c r="B1596" s="631"/>
      <c r="C1596" s="631"/>
      <c r="D1596" s="832"/>
      <c r="E1596" s="631"/>
      <c r="F1596" s="631"/>
      <c r="G1596" s="631"/>
      <c r="H1596" s="833"/>
      <c r="I1596" s="834"/>
      <c r="J1596" s="834"/>
      <c r="K1596" s="835"/>
      <c r="L1596" s="835"/>
      <c r="M1596" s="835"/>
      <c r="N1596" s="835"/>
      <c r="O1596" s="835"/>
      <c r="P1596" s="835"/>
      <c r="Q1596" s="540"/>
      <c r="R1596" s="540"/>
      <c r="S1596" s="540"/>
      <c r="T1596" s="540"/>
      <c r="U1596" s="540"/>
      <c r="V1596" s="540"/>
      <c r="W1596" s="540"/>
      <c r="X1596" s="540"/>
      <c r="Y1596" s="540"/>
      <c r="Z1596" s="540"/>
    </row>
    <row r="1597" spans="1:26" ht="19">
      <c r="A1597" s="631"/>
      <c r="B1597" s="631"/>
      <c r="C1597" s="631"/>
      <c r="D1597" s="832"/>
      <c r="E1597" s="631"/>
      <c r="F1597" s="631"/>
      <c r="G1597" s="631"/>
      <c r="H1597" s="833"/>
      <c r="I1597" s="834"/>
      <c r="J1597" s="834"/>
      <c r="K1597" s="835"/>
      <c r="L1597" s="835"/>
      <c r="M1597" s="835"/>
      <c r="N1597" s="835"/>
      <c r="O1597" s="835"/>
      <c r="P1597" s="835"/>
      <c r="Q1597" s="540"/>
      <c r="R1597" s="540"/>
      <c r="S1597" s="540"/>
      <c r="T1597" s="540"/>
      <c r="U1597" s="540"/>
      <c r="V1597" s="540"/>
      <c r="W1597" s="540"/>
      <c r="X1597" s="540"/>
      <c r="Y1597" s="540"/>
      <c r="Z1597" s="540"/>
    </row>
    <row r="1598" spans="1:26" ht="19">
      <c r="A1598" s="631"/>
      <c r="B1598" s="631"/>
      <c r="C1598" s="631"/>
      <c r="D1598" s="832"/>
      <c r="E1598" s="631"/>
      <c r="F1598" s="631"/>
      <c r="G1598" s="631"/>
      <c r="H1598" s="833"/>
      <c r="I1598" s="834"/>
      <c r="J1598" s="834"/>
      <c r="K1598" s="835"/>
      <c r="L1598" s="835"/>
      <c r="M1598" s="835"/>
      <c r="N1598" s="835"/>
      <c r="O1598" s="835"/>
      <c r="P1598" s="835"/>
      <c r="Q1598" s="540"/>
      <c r="R1598" s="540"/>
      <c r="S1598" s="540"/>
      <c r="T1598" s="540"/>
      <c r="U1598" s="540"/>
      <c r="V1598" s="540"/>
      <c r="W1598" s="540"/>
      <c r="X1598" s="540"/>
      <c r="Y1598" s="540"/>
      <c r="Z1598" s="540"/>
    </row>
    <row r="1599" spans="1:26" ht="19">
      <c r="A1599" s="631"/>
      <c r="B1599" s="631"/>
      <c r="C1599" s="631"/>
      <c r="D1599" s="832"/>
      <c r="E1599" s="631"/>
      <c r="F1599" s="631"/>
      <c r="G1599" s="631"/>
      <c r="H1599" s="833"/>
      <c r="I1599" s="834"/>
      <c r="J1599" s="834"/>
      <c r="K1599" s="835"/>
      <c r="L1599" s="835"/>
      <c r="M1599" s="835"/>
      <c r="N1599" s="835"/>
      <c r="O1599" s="835"/>
      <c r="P1599" s="835"/>
      <c r="Q1599" s="540"/>
      <c r="R1599" s="540"/>
      <c r="S1599" s="540"/>
      <c r="T1599" s="540"/>
      <c r="U1599" s="540"/>
      <c r="V1599" s="540"/>
      <c r="W1599" s="540"/>
      <c r="X1599" s="540"/>
      <c r="Y1599" s="540"/>
      <c r="Z1599" s="540"/>
    </row>
    <row r="1600" spans="1:26" ht="19">
      <c r="A1600" s="631"/>
      <c r="B1600" s="631"/>
      <c r="C1600" s="631"/>
      <c r="D1600" s="832"/>
      <c r="E1600" s="631"/>
      <c r="F1600" s="631"/>
      <c r="G1600" s="631"/>
      <c r="H1600" s="833"/>
      <c r="I1600" s="834"/>
      <c r="J1600" s="834"/>
      <c r="K1600" s="835"/>
      <c r="L1600" s="835"/>
      <c r="M1600" s="835"/>
      <c r="N1600" s="835"/>
      <c r="O1600" s="835"/>
      <c r="P1600" s="835"/>
      <c r="Q1600" s="540"/>
      <c r="R1600" s="540"/>
      <c r="S1600" s="540"/>
      <c r="T1600" s="540"/>
      <c r="U1600" s="540"/>
      <c r="V1600" s="540"/>
      <c r="W1600" s="540"/>
      <c r="X1600" s="540"/>
      <c r="Y1600" s="540"/>
      <c r="Z1600" s="540"/>
    </row>
    <row r="1601" spans="1:26" ht="19">
      <c r="A1601" s="631"/>
      <c r="B1601" s="631"/>
      <c r="C1601" s="631"/>
      <c r="D1601" s="832"/>
      <c r="E1601" s="631"/>
      <c r="F1601" s="631"/>
      <c r="G1601" s="631"/>
      <c r="H1601" s="833"/>
      <c r="I1601" s="834"/>
      <c r="J1601" s="834"/>
      <c r="K1601" s="835"/>
      <c r="L1601" s="835"/>
      <c r="M1601" s="835"/>
      <c r="N1601" s="835"/>
      <c r="O1601" s="835"/>
      <c r="P1601" s="835"/>
      <c r="Q1601" s="540"/>
      <c r="R1601" s="540"/>
      <c r="S1601" s="540"/>
      <c r="T1601" s="540"/>
      <c r="U1601" s="540"/>
      <c r="V1601" s="540"/>
      <c r="W1601" s="540"/>
      <c r="X1601" s="540"/>
      <c r="Y1601" s="540"/>
      <c r="Z1601" s="540"/>
    </row>
    <row r="1602" spans="1:26" ht="19">
      <c r="A1602" s="631"/>
      <c r="B1602" s="631"/>
      <c r="C1602" s="631"/>
      <c r="D1602" s="832"/>
      <c r="E1602" s="631"/>
      <c r="F1602" s="631"/>
      <c r="G1602" s="631"/>
      <c r="H1602" s="833"/>
      <c r="I1602" s="834"/>
      <c r="J1602" s="834"/>
      <c r="K1602" s="835"/>
      <c r="L1602" s="835"/>
      <c r="M1602" s="835"/>
      <c r="N1602" s="835"/>
      <c r="O1602" s="835"/>
      <c r="P1602" s="835"/>
      <c r="Q1602" s="540"/>
      <c r="R1602" s="540"/>
      <c r="S1602" s="540"/>
      <c r="T1602" s="540"/>
      <c r="U1602" s="540"/>
      <c r="V1602" s="540"/>
      <c r="W1602" s="540"/>
      <c r="X1602" s="540"/>
      <c r="Y1602" s="540"/>
      <c r="Z1602" s="540"/>
    </row>
    <row r="1603" spans="1:26" ht="19">
      <c r="A1603" s="631"/>
      <c r="B1603" s="631"/>
      <c r="C1603" s="631"/>
      <c r="D1603" s="832"/>
      <c r="E1603" s="631"/>
      <c r="F1603" s="631"/>
      <c r="G1603" s="631"/>
      <c r="H1603" s="833"/>
      <c r="I1603" s="834"/>
      <c r="J1603" s="834"/>
      <c r="K1603" s="835"/>
      <c r="L1603" s="835"/>
      <c r="M1603" s="835"/>
      <c r="N1603" s="835"/>
      <c r="O1603" s="835"/>
      <c r="P1603" s="835"/>
      <c r="Q1603" s="540"/>
      <c r="R1603" s="540"/>
      <c r="S1603" s="540"/>
      <c r="T1603" s="540"/>
      <c r="U1603" s="540"/>
      <c r="V1603" s="540"/>
      <c r="W1603" s="540"/>
      <c r="X1603" s="540"/>
      <c r="Y1603" s="540"/>
      <c r="Z1603" s="540"/>
    </row>
    <row r="1604" spans="1:26" ht="19">
      <c r="A1604" s="631"/>
      <c r="B1604" s="631"/>
      <c r="C1604" s="631"/>
      <c r="D1604" s="832"/>
      <c r="E1604" s="631"/>
      <c r="F1604" s="631"/>
      <c r="G1604" s="631"/>
      <c r="H1604" s="833"/>
      <c r="I1604" s="834"/>
      <c r="J1604" s="834"/>
      <c r="K1604" s="835"/>
      <c r="L1604" s="835"/>
      <c r="M1604" s="835"/>
      <c r="N1604" s="835"/>
      <c r="O1604" s="835"/>
      <c r="P1604" s="835"/>
      <c r="Q1604" s="540"/>
      <c r="R1604" s="540"/>
      <c r="S1604" s="540"/>
      <c r="T1604" s="540"/>
      <c r="U1604" s="540"/>
      <c r="V1604" s="540"/>
      <c r="W1604" s="540"/>
      <c r="X1604" s="540"/>
      <c r="Y1604" s="540"/>
      <c r="Z1604" s="540"/>
    </row>
    <row r="1605" spans="1:26" ht="19">
      <c r="A1605" s="631"/>
      <c r="B1605" s="631"/>
      <c r="C1605" s="631"/>
      <c r="D1605" s="832"/>
      <c r="E1605" s="631"/>
      <c r="F1605" s="631"/>
      <c r="G1605" s="631"/>
      <c r="H1605" s="833"/>
      <c r="I1605" s="834"/>
      <c r="J1605" s="834"/>
      <c r="K1605" s="835"/>
      <c r="L1605" s="835"/>
      <c r="M1605" s="835"/>
      <c r="N1605" s="835"/>
      <c r="O1605" s="835"/>
      <c r="P1605" s="835"/>
      <c r="Q1605" s="540"/>
      <c r="R1605" s="540"/>
      <c r="S1605" s="540"/>
      <c r="T1605" s="540"/>
      <c r="U1605" s="540"/>
      <c r="V1605" s="540"/>
      <c r="W1605" s="540"/>
      <c r="X1605" s="540"/>
      <c r="Y1605" s="540"/>
      <c r="Z1605" s="540"/>
    </row>
    <row r="1606" spans="1:26" ht="19">
      <c r="A1606" s="631"/>
      <c r="B1606" s="631"/>
      <c r="C1606" s="631"/>
      <c r="D1606" s="832"/>
      <c r="E1606" s="631"/>
      <c r="F1606" s="631"/>
      <c r="G1606" s="631"/>
      <c r="H1606" s="833"/>
      <c r="I1606" s="834"/>
      <c r="J1606" s="834"/>
      <c r="K1606" s="835"/>
      <c r="L1606" s="835"/>
      <c r="M1606" s="835"/>
      <c r="N1606" s="835"/>
      <c r="O1606" s="835"/>
      <c r="P1606" s="835"/>
      <c r="Q1606" s="540"/>
      <c r="R1606" s="540"/>
      <c r="S1606" s="540"/>
      <c r="T1606" s="540"/>
      <c r="U1606" s="540"/>
      <c r="V1606" s="540"/>
      <c r="W1606" s="540"/>
      <c r="X1606" s="540"/>
      <c r="Y1606" s="540"/>
      <c r="Z1606" s="540"/>
    </row>
    <row r="1607" spans="1:26" ht="19">
      <c r="A1607" s="631"/>
      <c r="B1607" s="631"/>
      <c r="C1607" s="631"/>
      <c r="D1607" s="832"/>
      <c r="E1607" s="631"/>
      <c r="F1607" s="631"/>
      <c r="G1607" s="631"/>
      <c r="H1607" s="833"/>
      <c r="I1607" s="834"/>
      <c r="J1607" s="834"/>
      <c r="K1607" s="835"/>
      <c r="L1607" s="835"/>
      <c r="M1607" s="835"/>
      <c r="N1607" s="835"/>
      <c r="O1607" s="835"/>
      <c r="P1607" s="835"/>
      <c r="Q1607" s="540"/>
      <c r="R1607" s="540"/>
      <c r="S1607" s="540"/>
      <c r="T1607" s="540"/>
      <c r="U1607" s="540"/>
      <c r="V1607" s="540"/>
      <c r="W1607" s="540"/>
      <c r="X1607" s="540"/>
      <c r="Y1607" s="540"/>
      <c r="Z1607" s="540"/>
    </row>
    <row r="1608" spans="1:26" ht="19">
      <c r="A1608" s="631"/>
      <c r="B1608" s="631"/>
      <c r="C1608" s="631"/>
      <c r="D1608" s="832"/>
      <c r="E1608" s="631"/>
      <c r="F1608" s="631"/>
      <c r="G1608" s="631"/>
      <c r="H1608" s="833"/>
      <c r="I1608" s="834"/>
      <c r="J1608" s="834"/>
      <c r="K1608" s="835"/>
      <c r="L1608" s="835"/>
      <c r="M1608" s="835"/>
      <c r="N1608" s="835"/>
      <c r="O1608" s="835"/>
      <c r="P1608" s="835"/>
      <c r="Q1608" s="540"/>
      <c r="R1608" s="540"/>
      <c r="S1608" s="540"/>
      <c r="T1608" s="540"/>
      <c r="U1608" s="540"/>
      <c r="V1608" s="540"/>
      <c r="W1608" s="540"/>
      <c r="X1608" s="540"/>
      <c r="Y1608" s="540"/>
      <c r="Z1608" s="540"/>
    </row>
    <row r="1609" spans="1:26" ht="19">
      <c r="A1609" s="631"/>
      <c r="B1609" s="631"/>
      <c r="C1609" s="631"/>
      <c r="D1609" s="832"/>
      <c r="E1609" s="631"/>
      <c r="F1609" s="631"/>
      <c r="G1609" s="631"/>
      <c r="H1609" s="833"/>
      <c r="I1609" s="834"/>
      <c r="J1609" s="834"/>
      <c r="K1609" s="835"/>
      <c r="L1609" s="835"/>
      <c r="M1609" s="835"/>
      <c r="N1609" s="835"/>
      <c r="O1609" s="835"/>
      <c r="P1609" s="835"/>
      <c r="Q1609" s="540"/>
      <c r="R1609" s="540"/>
      <c r="S1609" s="540"/>
      <c r="T1609" s="540"/>
      <c r="U1609" s="540"/>
      <c r="V1609" s="540"/>
      <c r="W1609" s="540"/>
      <c r="X1609" s="540"/>
      <c r="Y1609" s="540"/>
      <c r="Z1609" s="540"/>
    </row>
    <row r="1610" spans="1:26" ht="19">
      <c r="A1610" s="631"/>
      <c r="B1610" s="631"/>
      <c r="C1610" s="631"/>
      <c r="D1610" s="832"/>
      <c r="E1610" s="631"/>
      <c r="F1610" s="631"/>
      <c r="G1610" s="631"/>
      <c r="H1610" s="833"/>
      <c r="I1610" s="834"/>
      <c r="J1610" s="834"/>
      <c r="K1610" s="835"/>
      <c r="L1610" s="835"/>
      <c r="M1610" s="835"/>
      <c r="N1610" s="835"/>
      <c r="O1610" s="835"/>
      <c r="P1610" s="835"/>
      <c r="Q1610" s="540"/>
      <c r="R1610" s="540"/>
      <c r="S1610" s="540"/>
      <c r="T1610" s="540"/>
      <c r="U1610" s="540"/>
      <c r="V1610" s="540"/>
      <c r="W1610" s="540"/>
      <c r="X1610" s="540"/>
      <c r="Y1610" s="540"/>
      <c r="Z1610" s="540"/>
    </row>
    <row r="1611" spans="1:26" ht="19">
      <c r="A1611" s="631"/>
      <c r="B1611" s="631"/>
      <c r="C1611" s="631"/>
      <c r="D1611" s="832"/>
      <c r="E1611" s="631"/>
      <c r="F1611" s="631"/>
      <c r="G1611" s="631"/>
      <c r="H1611" s="833"/>
      <c r="I1611" s="834"/>
      <c r="J1611" s="834"/>
      <c r="K1611" s="835"/>
      <c r="L1611" s="835"/>
      <c r="M1611" s="835"/>
      <c r="N1611" s="835"/>
      <c r="O1611" s="835"/>
      <c r="P1611" s="835"/>
      <c r="Q1611" s="540"/>
      <c r="R1611" s="540"/>
      <c r="S1611" s="540"/>
      <c r="T1611" s="540"/>
      <c r="U1611" s="540"/>
      <c r="V1611" s="540"/>
      <c r="W1611" s="540"/>
      <c r="X1611" s="540"/>
      <c r="Y1611" s="540"/>
      <c r="Z1611" s="540"/>
    </row>
    <row r="1612" spans="1:26" ht="19">
      <c r="A1612" s="631"/>
      <c r="B1612" s="631"/>
      <c r="C1612" s="631"/>
      <c r="D1612" s="832"/>
      <c r="E1612" s="631"/>
      <c r="F1612" s="631"/>
      <c r="G1612" s="631"/>
      <c r="H1612" s="833"/>
      <c r="I1612" s="834"/>
      <c r="J1612" s="834"/>
      <c r="K1612" s="835"/>
      <c r="L1612" s="835"/>
      <c r="M1612" s="835"/>
      <c r="N1612" s="835"/>
      <c r="O1612" s="835"/>
      <c r="P1612" s="835"/>
      <c r="Q1612" s="540"/>
      <c r="R1612" s="540"/>
      <c r="S1612" s="540"/>
      <c r="T1612" s="540"/>
      <c r="U1612" s="540"/>
      <c r="V1612" s="540"/>
      <c r="W1612" s="540"/>
      <c r="X1612" s="540"/>
      <c r="Y1612" s="540"/>
      <c r="Z1612" s="540"/>
    </row>
    <row r="1613" spans="1:26" ht="19">
      <c r="A1613" s="631"/>
      <c r="B1613" s="631"/>
      <c r="C1613" s="631"/>
      <c r="D1613" s="832"/>
      <c r="E1613" s="631"/>
      <c r="F1613" s="631"/>
      <c r="G1613" s="631"/>
      <c r="H1613" s="833"/>
      <c r="I1613" s="834"/>
      <c r="J1613" s="834"/>
      <c r="K1613" s="835"/>
      <c r="L1613" s="835"/>
      <c r="M1613" s="835"/>
      <c r="N1613" s="835"/>
      <c r="O1613" s="835"/>
      <c r="P1613" s="835"/>
      <c r="Q1613" s="540"/>
      <c r="R1613" s="540"/>
      <c r="S1613" s="540"/>
      <c r="T1613" s="540"/>
      <c r="U1613" s="540"/>
      <c r="V1613" s="540"/>
      <c r="W1613" s="540"/>
      <c r="X1613" s="540"/>
      <c r="Y1613" s="540"/>
      <c r="Z1613" s="540"/>
    </row>
    <row r="1614" spans="1:26" ht="19">
      <c r="A1614" s="631"/>
      <c r="B1614" s="631"/>
      <c r="C1614" s="631"/>
      <c r="D1614" s="832"/>
      <c r="E1614" s="631"/>
      <c r="F1614" s="631"/>
      <c r="G1614" s="631"/>
      <c r="H1614" s="833"/>
      <c r="I1614" s="834"/>
      <c r="J1614" s="834"/>
      <c r="K1614" s="835"/>
      <c r="L1614" s="835"/>
      <c r="M1614" s="835"/>
      <c r="N1614" s="835"/>
      <c r="O1614" s="835"/>
      <c r="P1614" s="835"/>
      <c r="Q1614" s="540"/>
      <c r="R1614" s="540"/>
      <c r="S1614" s="540"/>
      <c r="T1614" s="540"/>
      <c r="U1614" s="540"/>
      <c r="V1614" s="540"/>
      <c r="W1614" s="540"/>
      <c r="X1614" s="540"/>
      <c r="Y1614" s="540"/>
      <c r="Z1614" s="540"/>
    </row>
    <row r="1615" spans="1:26" ht="19">
      <c r="A1615" s="631"/>
      <c r="B1615" s="631"/>
      <c r="C1615" s="631"/>
      <c r="D1615" s="832"/>
      <c r="E1615" s="631"/>
      <c r="F1615" s="631"/>
      <c r="G1615" s="631"/>
      <c r="H1615" s="833"/>
      <c r="I1615" s="834"/>
      <c r="J1615" s="834"/>
      <c r="K1615" s="835"/>
      <c r="L1615" s="835"/>
      <c r="M1615" s="835"/>
      <c r="N1615" s="835"/>
      <c r="O1615" s="835"/>
      <c r="P1615" s="835"/>
      <c r="Q1615" s="540"/>
      <c r="R1615" s="540"/>
      <c r="S1615" s="540"/>
      <c r="T1615" s="540"/>
      <c r="U1615" s="540"/>
      <c r="V1615" s="540"/>
      <c r="W1615" s="540"/>
      <c r="X1615" s="540"/>
      <c r="Y1615" s="540"/>
      <c r="Z1615" s="540"/>
    </row>
    <row r="1616" spans="1:26" ht="19">
      <c r="A1616" s="631"/>
      <c r="B1616" s="631"/>
      <c r="C1616" s="631"/>
      <c r="D1616" s="832"/>
      <c r="E1616" s="631"/>
      <c r="F1616" s="631"/>
      <c r="G1616" s="631"/>
      <c r="H1616" s="833"/>
      <c r="I1616" s="834"/>
      <c r="J1616" s="834"/>
      <c r="K1616" s="835"/>
      <c r="L1616" s="835"/>
      <c r="M1616" s="835"/>
      <c r="N1616" s="835"/>
      <c r="O1616" s="835"/>
      <c r="P1616" s="835"/>
      <c r="Q1616" s="540"/>
      <c r="R1616" s="540"/>
      <c r="S1616" s="540"/>
      <c r="T1616" s="540"/>
      <c r="U1616" s="540"/>
      <c r="V1616" s="540"/>
      <c r="W1616" s="540"/>
      <c r="X1616" s="540"/>
      <c r="Y1616" s="540"/>
      <c r="Z1616" s="540"/>
    </row>
    <row r="1617" spans="1:26" ht="19">
      <c r="A1617" s="631"/>
      <c r="B1617" s="631"/>
      <c r="C1617" s="631"/>
      <c r="D1617" s="832"/>
      <c r="E1617" s="631"/>
      <c r="F1617" s="631"/>
      <c r="G1617" s="631"/>
      <c r="H1617" s="833"/>
      <c r="I1617" s="834"/>
      <c r="J1617" s="834"/>
      <c r="K1617" s="835"/>
      <c r="L1617" s="835"/>
      <c r="M1617" s="835"/>
      <c r="N1617" s="835"/>
      <c r="O1617" s="835"/>
      <c r="P1617" s="835"/>
      <c r="Q1617" s="540"/>
      <c r="R1617" s="540"/>
      <c r="S1617" s="540"/>
      <c r="T1617" s="540"/>
      <c r="U1617" s="540"/>
      <c r="V1617" s="540"/>
      <c r="W1617" s="540"/>
      <c r="X1617" s="540"/>
      <c r="Y1617" s="540"/>
      <c r="Z1617" s="540"/>
    </row>
    <row r="1618" spans="1:26" ht="19">
      <c r="A1618" s="631"/>
      <c r="B1618" s="631"/>
      <c r="C1618" s="631"/>
      <c r="D1618" s="832"/>
      <c r="E1618" s="631"/>
      <c r="F1618" s="631"/>
      <c r="G1618" s="631"/>
      <c r="H1618" s="833"/>
      <c r="I1618" s="834"/>
      <c r="J1618" s="834"/>
      <c r="K1618" s="835"/>
      <c r="L1618" s="835"/>
      <c r="M1618" s="835"/>
      <c r="N1618" s="835"/>
      <c r="O1618" s="835"/>
      <c r="P1618" s="835"/>
      <c r="Q1618" s="540"/>
      <c r="R1618" s="540"/>
      <c r="S1618" s="540"/>
      <c r="T1618" s="540"/>
      <c r="U1618" s="540"/>
      <c r="V1618" s="540"/>
      <c r="W1618" s="540"/>
      <c r="X1618" s="540"/>
      <c r="Y1618" s="540"/>
      <c r="Z1618" s="540"/>
    </row>
    <row r="1619" spans="1:26" ht="19">
      <c r="A1619" s="631"/>
      <c r="B1619" s="631"/>
      <c r="C1619" s="631"/>
      <c r="D1619" s="832"/>
      <c r="E1619" s="631"/>
      <c r="F1619" s="631"/>
      <c r="G1619" s="631"/>
      <c r="H1619" s="833"/>
      <c r="I1619" s="834"/>
      <c r="J1619" s="834"/>
      <c r="K1619" s="835"/>
      <c r="L1619" s="835"/>
      <c r="M1619" s="835"/>
      <c r="N1619" s="835"/>
      <c r="O1619" s="835"/>
      <c r="P1619" s="835"/>
      <c r="Q1619" s="540"/>
      <c r="R1619" s="540"/>
      <c r="S1619" s="540"/>
      <c r="T1619" s="540"/>
      <c r="U1619" s="540"/>
      <c r="V1619" s="540"/>
      <c r="W1619" s="540"/>
      <c r="X1619" s="540"/>
      <c r="Y1619" s="540"/>
      <c r="Z1619" s="540"/>
    </row>
    <row r="1620" spans="1:26" ht="19">
      <c r="A1620" s="631"/>
      <c r="B1620" s="631"/>
      <c r="C1620" s="631"/>
      <c r="D1620" s="832"/>
      <c r="E1620" s="631"/>
      <c r="F1620" s="631"/>
      <c r="G1620" s="631"/>
      <c r="H1620" s="833"/>
      <c r="I1620" s="834"/>
      <c r="J1620" s="834"/>
      <c r="K1620" s="835"/>
      <c r="L1620" s="835"/>
      <c r="M1620" s="835"/>
      <c r="N1620" s="835"/>
      <c r="O1620" s="835"/>
      <c r="P1620" s="835"/>
      <c r="Q1620" s="540"/>
      <c r="R1620" s="540"/>
      <c r="S1620" s="540"/>
      <c r="T1620" s="540"/>
      <c r="U1620" s="540"/>
      <c r="V1620" s="540"/>
      <c r="W1620" s="540"/>
      <c r="X1620" s="540"/>
      <c r="Y1620" s="540"/>
      <c r="Z1620" s="540"/>
    </row>
    <row r="1621" spans="1:26" ht="19">
      <c r="A1621" s="631"/>
      <c r="B1621" s="631"/>
      <c r="C1621" s="631"/>
      <c r="D1621" s="832"/>
      <c r="E1621" s="631"/>
      <c r="F1621" s="631"/>
      <c r="G1621" s="631"/>
      <c r="H1621" s="833"/>
      <c r="I1621" s="834"/>
      <c r="J1621" s="834"/>
      <c r="K1621" s="835"/>
      <c r="L1621" s="835"/>
      <c r="M1621" s="835"/>
      <c r="N1621" s="835"/>
      <c r="O1621" s="835"/>
      <c r="P1621" s="835"/>
      <c r="Q1621" s="540"/>
      <c r="R1621" s="540"/>
      <c r="S1621" s="540"/>
      <c r="T1621" s="540"/>
      <c r="U1621" s="540"/>
      <c r="V1621" s="540"/>
      <c r="W1621" s="540"/>
      <c r="X1621" s="540"/>
      <c r="Y1621" s="540"/>
      <c r="Z1621" s="540"/>
    </row>
    <row r="1622" spans="1:26" ht="19">
      <c r="A1622" s="631"/>
      <c r="B1622" s="631"/>
      <c r="C1622" s="631"/>
      <c r="D1622" s="832"/>
      <c r="E1622" s="631"/>
      <c r="F1622" s="631"/>
      <c r="G1622" s="631"/>
      <c r="H1622" s="833"/>
      <c r="I1622" s="834"/>
      <c r="J1622" s="834"/>
      <c r="K1622" s="835"/>
      <c r="L1622" s="835"/>
      <c r="M1622" s="835"/>
      <c r="N1622" s="835"/>
      <c r="O1622" s="835"/>
      <c r="P1622" s="835"/>
      <c r="Q1622" s="540"/>
      <c r="R1622" s="540"/>
      <c r="S1622" s="540"/>
      <c r="T1622" s="540"/>
      <c r="U1622" s="540"/>
      <c r="V1622" s="540"/>
      <c r="W1622" s="540"/>
      <c r="X1622" s="540"/>
      <c r="Y1622" s="540"/>
      <c r="Z1622" s="540"/>
    </row>
    <row r="1623" spans="1:26" ht="19">
      <c r="A1623" s="631"/>
      <c r="B1623" s="631"/>
      <c r="C1623" s="631"/>
      <c r="D1623" s="832"/>
      <c r="E1623" s="631"/>
      <c r="F1623" s="631"/>
      <c r="G1623" s="631"/>
      <c r="H1623" s="833"/>
      <c r="I1623" s="834"/>
      <c r="J1623" s="834"/>
      <c r="K1623" s="835"/>
      <c r="L1623" s="835"/>
      <c r="M1623" s="835"/>
      <c r="N1623" s="835"/>
      <c r="O1623" s="835"/>
      <c r="P1623" s="835"/>
      <c r="Q1623" s="540"/>
      <c r="R1623" s="540"/>
      <c r="S1623" s="540"/>
      <c r="T1623" s="540"/>
      <c r="U1623" s="540"/>
      <c r="V1623" s="540"/>
      <c r="W1623" s="540"/>
      <c r="X1623" s="540"/>
      <c r="Y1623" s="540"/>
      <c r="Z1623" s="540"/>
    </row>
    <row r="1624" spans="1:26" ht="19">
      <c r="A1624" s="631"/>
      <c r="B1624" s="631"/>
      <c r="C1624" s="631"/>
      <c r="D1624" s="832"/>
      <c r="E1624" s="631"/>
      <c r="F1624" s="631"/>
      <c r="G1624" s="631"/>
      <c r="H1624" s="833"/>
      <c r="I1624" s="834"/>
      <c r="J1624" s="834"/>
      <c r="K1624" s="835"/>
      <c r="L1624" s="835"/>
      <c r="M1624" s="835"/>
      <c r="N1624" s="835"/>
      <c r="O1624" s="835"/>
      <c r="P1624" s="835"/>
      <c r="Q1624" s="540"/>
      <c r="R1624" s="540"/>
      <c r="S1624" s="540"/>
      <c r="T1624" s="540"/>
      <c r="U1624" s="540"/>
      <c r="V1624" s="540"/>
      <c r="W1624" s="540"/>
      <c r="X1624" s="540"/>
      <c r="Y1624" s="540"/>
      <c r="Z1624" s="540"/>
    </row>
    <row r="1625" spans="1:26" ht="19">
      <c r="A1625" s="631"/>
      <c r="B1625" s="631"/>
      <c r="C1625" s="631"/>
      <c r="D1625" s="832"/>
      <c r="E1625" s="631"/>
      <c r="F1625" s="631"/>
      <c r="G1625" s="631"/>
      <c r="H1625" s="833"/>
      <c r="I1625" s="834"/>
      <c r="J1625" s="834"/>
      <c r="K1625" s="835"/>
      <c r="L1625" s="835"/>
      <c r="M1625" s="835"/>
      <c r="N1625" s="835"/>
      <c r="O1625" s="835"/>
      <c r="P1625" s="835"/>
      <c r="Q1625" s="540"/>
      <c r="R1625" s="540"/>
      <c r="S1625" s="540"/>
      <c r="T1625" s="540"/>
      <c r="U1625" s="540"/>
      <c r="V1625" s="540"/>
      <c r="W1625" s="540"/>
      <c r="X1625" s="540"/>
      <c r="Y1625" s="540"/>
      <c r="Z1625" s="540"/>
    </row>
    <row r="1626" spans="1:26" ht="19">
      <c r="A1626" s="631"/>
      <c r="B1626" s="631"/>
      <c r="C1626" s="631"/>
      <c r="D1626" s="832"/>
      <c r="E1626" s="631"/>
      <c r="F1626" s="631"/>
      <c r="G1626" s="631"/>
      <c r="H1626" s="833"/>
      <c r="I1626" s="834"/>
      <c r="J1626" s="834"/>
      <c r="K1626" s="835"/>
      <c r="L1626" s="835"/>
      <c r="M1626" s="835"/>
      <c r="N1626" s="835"/>
      <c r="O1626" s="835"/>
      <c r="P1626" s="835"/>
      <c r="Q1626" s="540"/>
      <c r="R1626" s="540"/>
      <c r="S1626" s="540"/>
      <c r="T1626" s="540"/>
      <c r="U1626" s="540"/>
      <c r="V1626" s="540"/>
      <c r="W1626" s="540"/>
      <c r="X1626" s="540"/>
      <c r="Y1626" s="540"/>
      <c r="Z1626" s="540"/>
    </row>
    <row r="1627" spans="1:26" ht="19">
      <c r="A1627" s="631"/>
      <c r="B1627" s="631"/>
      <c r="C1627" s="631"/>
      <c r="D1627" s="832"/>
      <c r="E1627" s="631"/>
      <c r="F1627" s="631"/>
      <c r="G1627" s="631"/>
      <c r="H1627" s="833"/>
      <c r="I1627" s="834"/>
      <c r="J1627" s="834"/>
      <c r="K1627" s="835"/>
      <c r="L1627" s="835"/>
      <c r="M1627" s="835"/>
      <c r="N1627" s="835"/>
      <c r="O1627" s="835"/>
      <c r="P1627" s="835"/>
      <c r="Q1627" s="540"/>
      <c r="R1627" s="540"/>
      <c r="S1627" s="540"/>
      <c r="T1627" s="540"/>
      <c r="U1627" s="540"/>
      <c r="V1627" s="540"/>
      <c r="W1627" s="540"/>
      <c r="X1627" s="540"/>
      <c r="Y1627" s="540"/>
      <c r="Z1627" s="540"/>
    </row>
    <row r="1628" spans="1:26" ht="19">
      <c r="A1628" s="631"/>
      <c r="B1628" s="631"/>
      <c r="C1628" s="631"/>
      <c r="D1628" s="832"/>
      <c r="E1628" s="631"/>
      <c r="F1628" s="631"/>
      <c r="G1628" s="631"/>
      <c r="H1628" s="833"/>
      <c r="I1628" s="834"/>
      <c r="J1628" s="834"/>
      <c r="K1628" s="835"/>
      <c r="L1628" s="835"/>
      <c r="M1628" s="835"/>
      <c r="N1628" s="835"/>
      <c r="O1628" s="835"/>
      <c r="P1628" s="835"/>
      <c r="Q1628" s="540"/>
      <c r="R1628" s="540"/>
      <c r="S1628" s="540"/>
      <c r="T1628" s="540"/>
      <c r="U1628" s="540"/>
      <c r="V1628" s="540"/>
      <c r="W1628" s="540"/>
      <c r="X1628" s="540"/>
      <c r="Y1628" s="540"/>
      <c r="Z1628" s="540"/>
    </row>
    <row r="1629" spans="1:26" ht="19">
      <c r="A1629" s="631"/>
      <c r="B1629" s="631"/>
      <c r="C1629" s="631"/>
      <c r="D1629" s="832"/>
      <c r="E1629" s="631"/>
      <c r="F1629" s="631"/>
      <c r="G1629" s="631"/>
      <c r="H1629" s="833"/>
      <c r="I1629" s="834"/>
      <c r="J1629" s="834"/>
      <c r="K1629" s="835"/>
      <c r="L1629" s="835"/>
      <c r="M1629" s="835"/>
      <c r="N1629" s="835"/>
      <c r="O1629" s="835"/>
      <c r="P1629" s="835"/>
      <c r="Q1629" s="540"/>
      <c r="R1629" s="540"/>
      <c r="S1629" s="540"/>
      <c r="T1629" s="540"/>
      <c r="U1629" s="540"/>
      <c r="V1629" s="540"/>
      <c r="W1629" s="540"/>
      <c r="X1629" s="540"/>
      <c r="Y1629" s="540"/>
      <c r="Z1629" s="540"/>
    </row>
    <row r="1630" spans="1:26" ht="19">
      <c r="A1630" s="631"/>
      <c r="B1630" s="631"/>
      <c r="C1630" s="631"/>
      <c r="D1630" s="832"/>
      <c r="E1630" s="631"/>
      <c r="F1630" s="631"/>
      <c r="G1630" s="631"/>
      <c r="H1630" s="833"/>
      <c r="I1630" s="834"/>
      <c r="J1630" s="834"/>
      <c r="K1630" s="835"/>
      <c r="L1630" s="835"/>
      <c r="M1630" s="835"/>
      <c r="N1630" s="835"/>
      <c r="O1630" s="835"/>
      <c r="P1630" s="835"/>
      <c r="Q1630" s="540"/>
      <c r="R1630" s="540"/>
      <c r="S1630" s="540"/>
      <c r="T1630" s="540"/>
      <c r="U1630" s="540"/>
      <c r="V1630" s="540"/>
      <c r="W1630" s="540"/>
      <c r="X1630" s="540"/>
      <c r="Y1630" s="540"/>
      <c r="Z1630" s="540"/>
    </row>
    <row r="1631" spans="1:26" ht="19">
      <c r="A1631" s="631"/>
      <c r="B1631" s="631"/>
      <c r="C1631" s="631"/>
      <c r="D1631" s="832"/>
      <c r="E1631" s="631"/>
      <c r="F1631" s="631"/>
      <c r="G1631" s="631"/>
      <c r="H1631" s="833"/>
      <c r="I1631" s="834"/>
      <c r="J1631" s="834"/>
      <c r="K1631" s="835"/>
      <c r="L1631" s="835"/>
      <c r="M1631" s="835"/>
      <c r="N1631" s="835"/>
      <c r="O1631" s="835"/>
      <c r="P1631" s="835"/>
      <c r="Q1631" s="540"/>
      <c r="R1631" s="540"/>
      <c r="S1631" s="540"/>
      <c r="T1631" s="540"/>
      <c r="U1631" s="540"/>
      <c r="V1631" s="540"/>
      <c r="W1631" s="540"/>
      <c r="X1631" s="540"/>
      <c r="Y1631" s="540"/>
      <c r="Z1631" s="540"/>
    </row>
    <row r="1632" spans="1:26" ht="19">
      <c r="A1632" s="631"/>
      <c r="B1632" s="631"/>
      <c r="C1632" s="631"/>
      <c r="D1632" s="832"/>
      <c r="E1632" s="631"/>
      <c r="F1632" s="631"/>
      <c r="G1632" s="631"/>
      <c r="H1632" s="833"/>
      <c r="I1632" s="834"/>
      <c r="J1632" s="834"/>
      <c r="K1632" s="835"/>
      <c r="L1632" s="835"/>
      <c r="M1632" s="835"/>
      <c r="N1632" s="835"/>
      <c r="O1632" s="835"/>
      <c r="P1632" s="835"/>
      <c r="Q1632" s="540"/>
      <c r="R1632" s="540"/>
      <c r="S1632" s="540"/>
      <c r="T1632" s="540"/>
      <c r="U1632" s="540"/>
      <c r="V1632" s="540"/>
      <c r="W1632" s="540"/>
      <c r="X1632" s="540"/>
      <c r="Y1632" s="540"/>
      <c r="Z1632" s="540"/>
    </row>
    <row r="1633" spans="1:26" ht="19">
      <c r="A1633" s="631"/>
      <c r="B1633" s="631"/>
      <c r="C1633" s="631"/>
      <c r="D1633" s="832"/>
      <c r="E1633" s="631"/>
      <c r="F1633" s="631"/>
      <c r="G1633" s="631"/>
      <c r="H1633" s="833"/>
      <c r="I1633" s="834"/>
      <c r="J1633" s="834"/>
      <c r="K1633" s="835"/>
      <c r="L1633" s="835"/>
      <c r="M1633" s="835"/>
      <c r="N1633" s="835"/>
      <c r="O1633" s="835"/>
      <c r="P1633" s="835"/>
      <c r="Q1633" s="540"/>
      <c r="R1633" s="540"/>
      <c r="S1633" s="540"/>
      <c r="T1633" s="540"/>
      <c r="U1633" s="540"/>
      <c r="V1633" s="540"/>
      <c r="W1633" s="540"/>
      <c r="X1633" s="540"/>
      <c r="Y1633" s="540"/>
      <c r="Z1633" s="540"/>
    </row>
    <row r="1634" spans="1:26" ht="19">
      <c r="A1634" s="631"/>
      <c r="B1634" s="631"/>
      <c r="C1634" s="631"/>
      <c r="D1634" s="832"/>
      <c r="E1634" s="631"/>
      <c r="F1634" s="631"/>
      <c r="G1634" s="631"/>
      <c r="H1634" s="833"/>
      <c r="I1634" s="834"/>
      <c r="J1634" s="834"/>
      <c r="K1634" s="835"/>
      <c r="L1634" s="835"/>
      <c r="M1634" s="835"/>
      <c r="N1634" s="835"/>
      <c r="O1634" s="835"/>
      <c r="P1634" s="835"/>
      <c r="Q1634" s="540"/>
      <c r="R1634" s="540"/>
      <c r="S1634" s="540"/>
      <c r="T1634" s="540"/>
      <c r="U1634" s="540"/>
      <c r="V1634" s="540"/>
      <c r="W1634" s="540"/>
      <c r="X1634" s="540"/>
      <c r="Y1634" s="540"/>
      <c r="Z1634" s="540"/>
    </row>
    <row r="1635" spans="1:26" ht="19">
      <c r="A1635" s="631"/>
      <c r="B1635" s="631"/>
      <c r="C1635" s="631"/>
      <c r="D1635" s="832"/>
      <c r="E1635" s="631"/>
      <c r="F1635" s="631"/>
      <c r="G1635" s="631"/>
      <c r="H1635" s="833"/>
      <c r="I1635" s="834"/>
      <c r="J1635" s="834"/>
      <c r="K1635" s="835"/>
      <c r="L1635" s="835"/>
      <c r="M1635" s="835"/>
      <c r="N1635" s="835"/>
      <c r="O1635" s="835"/>
      <c r="P1635" s="835"/>
      <c r="Q1635" s="540"/>
      <c r="R1635" s="540"/>
      <c r="S1635" s="540"/>
      <c r="T1635" s="540"/>
      <c r="U1635" s="540"/>
      <c r="V1635" s="540"/>
      <c r="W1635" s="540"/>
      <c r="X1635" s="540"/>
      <c r="Y1635" s="540"/>
      <c r="Z1635" s="540"/>
    </row>
    <row r="1636" spans="1:26" ht="19">
      <c r="A1636" s="631"/>
      <c r="B1636" s="631"/>
      <c r="C1636" s="631"/>
      <c r="D1636" s="832"/>
      <c r="E1636" s="631"/>
      <c r="F1636" s="631"/>
      <c r="G1636" s="631"/>
      <c r="H1636" s="833"/>
      <c r="I1636" s="834"/>
      <c r="J1636" s="834"/>
      <c r="K1636" s="835"/>
      <c r="L1636" s="835"/>
      <c r="M1636" s="835"/>
      <c r="N1636" s="835"/>
      <c r="O1636" s="835"/>
      <c r="P1636" s="835"/>
      <c r="Q1636" s="540"/>
      <c r="R1636" s="540"/>
      <c r="S1636" s="540"/>
      <c r="T1636" s="540"/>
      <c r="U1636" s="540"/>
      <c r="V1636" s="540"/>
      <c r="W1636" s="540"/>
      <c r="X1636" s="540"/>
      <c r="Y1636" s="540"/>
      <c r="Z1636" s="540"/>
    </row>
    <row r="1637" spans="1:26" ht="19">
      <c r="A1637" s="631"/>
      <c r="B1637" s="631"/>
      <c r="C1637" s="631"/>
      <c r="D1637" s="832"/>
      <c r="E1637" s="631"/>
      <c r="F1637" s="631"/>
      <c r="G1637" s="631"/>
      <c r="H1637" s="833"/>
      <c r="I1637" s="834"/>
      <c r="J1637" s="834"/>
      <c r="K1637" s="835"/>
      <c r="L1637" s="835"/>
      <c r="M1637" s="835"/>
      <c r="N1637" s="835"/>
      <c r="O1637" s="835"/>
      <c r="P1637" s="835"/>
      <c r="Q1637" s="540"/>
      <c r="R1637" s="540"/>
      <c r="S1637" s="540"/>
      <c r="T1637" s="540"/>
      <c r="U1637" s="540"/>
      <c r="V1637" s="540"/>
      <c r="W1637" s="540"/>
      <c r="X1637" s="540"/>
      <c r="Y1637" s="540"/>
      <c r="Z1637" s="540"/>
    </row>
    <row r="1638" spans="1:26" ht="19">
      <c r="A1638" s="631"/>
      <c r="B1638" s="631"/>
      <c r="C1638" s="631"/>
      <c r="D1638" s="832"/>
      <c r="E1638" s="631"/>
      <c r="F1638" s="631"/>
      <c r="G1638" s="631"/>
      <c r="H1638" s="833"/>
      <c r="I1638" s="834"/>
      <c r="J1638" s="834"/>
      <c r="K1638" s="835"/>
      <c r="L1638" s="835"/>
      <c r="M1638" s="835"/>
      <c r="N1638" s="835"/>
      <c r="O1638" s="835"/>
      <c r="P1638" s="835"/>
      <c r="Q1638" s="540"/>
      <c r="R1638" s="540"/>
      <c r="S1638" s="540"/>
      <c r="T1638" s="540"/>
      <c r="U1638" s="540"/>
      <c r="V1638" s="540"/>
      <c r="W1638" s="540"/>
      <c r="X1638" s="540"/>
      <c r="Y1638" s="540"/>
      <c r="Z1638" s="540"/>
    </row>
    <row r="1639" spans="1:26" ht="19">
      <c r="A1639" s="631"/>
      <c r="B1639" s="631"/>
      <c r="C1639" s="631"/>
      <c r="D1639" s="832"/>
      <c r="E1639" s="631"/>
      <c r="F1639" s="631"/>
      <c r="G1639" s="631"/>
      <c r="H1639" s="833"/>
      <c r="I1639" s="834"/>
      <c r="J1639" s="834"/>
      <c r="K1639" s="835"/>
      <c r="L1639" s="835"/>
      <c r="M1639" s="835"/>
      <c r="N1639" s="835"/>
      <c r="O1639" s="835"/>
      <c r="P1639" s="835"/>
      <c r="Q1639" s="540"/>
      <c r="R1639" s="540"/>
      <c r="S1639" s="540"/>
      <c r="T1639" s="540"/>
      <c r="U1639" s="540"/>
      <c r="V1639" s="540"/>
      <c r="W1639" s="540"/>
      <c r="X1639" s="540"/>
      <c r="Y1639" s="540"/>
      <c r="Z1639" s="540"/>
    </row>
    <row r="1640" spans="1:26" ht="19">
      <c r="A1640" s="631"/>
      <c r="B1640" s="631"/>
      <c r="C1640" s="631"/>
      <c r="D1640" s="832"/>
      <c r="E1640" s="631"/>
      <c r="F1640" s="631"/>
      <c r="G1640" s="631"/>
      <c r="H1640" s="833"/>
      <c r="I1640" s="834"/>
      <c r="J1640" s="834"/>
      <c r="K1640" s="835"/>
      <c r="L1640" s="835"/>
      <c r="M1640" s="835"/>
      <c r="N1640" s="835"/>
      <c r="O1640" s="835"/>
      <c r="P1640" s="835"/>
      <c r="Q1640" s="540"/>
      <c r="R1640" s="540"/>
      <c r="S1640" s="540"/>
      <c r="T1640" s="540"/>
      <c r="U1640" s="540"/>
      <c r="V1640" s="540"/>
      <c r="W1640" s="540"/>
      <c r="X1640" s="540"/>
      <c r="Y1640" s="540"/>
      <c r="Z1640" s="540"/>
    </row>
    <row r="1641" spans="1:26" ht="19">
      <c r="A1641" s="631"/>
      <c r="B1641" s="631"/>
      <c r="C1641" s="631"/>
      <c r="D1641" s="832"/>
      <c r="E1641" s="631"/>
      <c r="F1641" s="631"/>
      <c r="G1641" s="631"/>
      <c r="H1641" s="833"/>
      <c r="I1641" s="834"/>
      <c r="J1641" s="834"/>
      <c r="K1641" s="835"/>
      <c r="L1641" s="835"/>
      <c r="M1641" s="835"/>
      <c r="N1641" s="835"/>
      <c r="O1641" s="835"/>
      <c r="P1641" s="835"/>
      <c r="Q1641" s="540"/>
      <c r="R1641" s="540"/>
      <c r="S1641" s="540"/>
      <c r="T1641" s="540"/>
      <c r="U1641" s="540"/>
      <c r="V1641" s="540"/>
      <c r="W1641" s="540"/>
      <c r="X1641" s="540"/>
      <c r="Y1641" s="540"/>
      <c r="Z1641" s="540"/>
    </row>
    <row r="1642" spans="1:26" ht="19">
      <c r="A1642" s="631"/>
      <c r="B1642" s="631"/>
      <c r="C1642" s="631"/>
      <c r="D1642" s="832"/>
      <c r="E1642" s="631"/>
      <c r="F1642" s="631"/>
      <c r="G1642" s="631"/>
      <c r="H1642" s="833"/>
      <c r="I1642" s="834"/>
      <c r="J1642" s="834"/>
      <c r="K1642" s="835"/>
      <c r="L1642" s="835"/>
      <c r="M1642" s="835"/>
      <c r="N1642" s="835"/>
      <c r="O1642" s="835"/>
      <c r="P1642" s="835"/>
      <c r="Q1642" s="540"/>
      <c r="R1642" s="540"/>
      <c r="S1642" s="540"/>
      <c r="T1642" s="540"/>
      <c r="U1642" s="540"/>
      <c r="V1642" s="540"/>
      <c r="W1642" s="540"/>
      <c r="X1642" s="540"/>
      <c r="Y1642" s="540"/>
      <c r="Z1642" s="540"/>
    </row>
    <row r="1643" spans="1:26" ht="19">
      <c r="A1643" s="631"/>
      <c r="B1643" s="631"/>
      <c r="C1643" s="631"/>
      <c r="D1643" s="832"/>
      <c r="E1643" s="631"/>
      <c r="F1643" s="631"/>
      <c r="G1643" s="631"/>
      <c r="H1643" s="833"/>
      <c r="I1643" s="834"/>
      <c r="J1643" s="834"/>
      <c r="K1643" s="835"/>
      <c r="L1643" s="835"/>
      <c r="M1643" s="835"/>
      <c r="N1643" s="835"/>
      <c r="O1643" s="835"/>
      <c r="P1643" s="835"/>
      <c r="Q1643" s="540"/>
      <c r="R1643" s="540"/>
      <c r="S1643" s="540"/>
      <c r="T1643" s="540"/>
      <c r="U1643" s="540"/>
      <c r="V1643" s="540"/>
      <c r="W1643" s="540"/>
      <c r="X1643" s="540"/>
      <c r="Y1643" s="540"/>
      <c r="Z1643" s="540"/>
    </row>
    <row r="1644" spans="1:26" ht="19">
      <c r="A1644" s="631"/>
      <c r="B1644" s="631"/>
      <c r="C1644" s="631"/>
      <c r="D1644" s="832"/>
      <c r="E1644" s="631"/>
      <c r="F1644" s="631"/>
      <c r="G1644" s="631"/>
      <c r="H1644" s="833"/>
      <c r="I1644" s="834"/>
      <c r="J1644" s="834"/>
      <c r="K1644" s="835"/>
      <c r="L1644" s="835"/>
      <c r="M1644" s="835"/>
      <c r="N1644" s="835"/>
      <c r="O1644" s="835"/>
      <c r="P1644" s="835"/>
      <c r="Q1644" s="540"/>
      <c r="R1644" s="540"/>
      <c r="S1644" s="540"/>
      <c r="T1644" s="540"/>
      <c r="U1644" s="540"/>
      <c r="V1644" s="540"/>
      <c r="W1644" s="540"/>
      <c r="X1644" s="540"/>
      <c r="Y1644" s="540"/>
      <c r="Z1644" s="540"/>
    </row>
    <row r="1645" spans="1:26" ht="19">
      <c r="A1645" s="631"/>
      <c r="B1645" s="631"/>
      <c r="C1645" s="631"/>
      <c r="D1645" s="832"/>
      <c r="E1645" s="631"/>
      <c r="F1645" s="631"/>
      <c r="G1645" s="631"/>
      <c r="H1645" s="833"/>
      <c r="I1645" s="834"/>
      <c r="J1645" s="834"/>
      <c r="K1645" s="835"/>
      <c r="L1645" s="835"/>
      <c r="M1645" s="835"/>
      <c r="N1645" s="835"/>
      <c r="O1645" s="835"/>
      <c r="P1645" s="835"/>
      <c r="Q1645" s="540"/>
      <c r="R1645" s="540"/>
      <c r="S1645" s="540"/>
      <c r="T1645" s="540"/>
      <c r="U1645" s="540"/>
      <c r="V1645" s="540"/>
      <c r="W1645" s="540"/>
      <c r="X1645" s="540"/>
      <c r="Y1645" s="540"/>
      <c r="Z1645" s="540"/>
    </row>
    <row r="1646" spans="1:26" ht="19">
      <c r="A1646" s="631"/>
      <c r="B1646" s="631"/>
      <c r="C1646" s="631"/>
      <c r="D1646" s="832"/>
      <c r="E1646" s="631"/>
      <c r="F1646" s="631"/>
      <c r="G1646" s="631"/>
      <c r="H1646" s="833"/>
      <c r="I1646" s="834"/>
      <c r="J1646" s="834"/>
      <c r="K1646" s="835"/>
      <c r="L1646" s="835"/>
      <c r="M1646" s="835"/>
      <c r="N1646" s="835"/>
      <c r="O1646" s="835"/>
      <c r="P1646" s="835"/>
      <c r="Q1646" s="540"/>
      <c r="R1646" s="540"/>
      <c r="S1646" s="540"/>
      <c r="T1646" s="540"/>
      <c r="U1646" s="540"/>
      <c r="V1646" s="540"/>
      <c r="W1646" s="540"/>
      <c r="X1646" s="540"/>
      <c r="Y1646" s="540"/>
      <c r="Z1646" s="540"/>
    </row>
    <row r="1647" spans="1:26" ht="19">
      <c r="A1647" s="631"/>
      <c r="B1647" s="631"/>
      <c r="C1647" s="631"/>
      <c r="D1647" s="832"/>
      <c r="E1647" s="631"/>
      <c r="F1647" s="631"/>
      <c r="G1647" s="631"/>
      <c r="H1647" s="833"/>
      <c r="I1647" s="834"/>
      <c r="J1647" s="834"/>
      <c r="K1647" s="835"/>
      <c r="L1647" s="835"/>
      <c r="M1647" s="835"/>
      <c r="N1647" s="835"/>
      <c r="O1647" s="835"/>
      <c r="P1647" s="835"/>
      <c r="Q1647" s="540"/>
      <c r="R1647" s="540"/>
      <c r="S1647" s="540"/>
      <c r="T1647" s="540"/>
      <c r="U1647" s="540"/>
      <c r="V1647" s="540"/>
      <c r="W1647" s="540"/>
      <c r="X1647" s="540"/>
      <c r="Y1647" s="540"/>
      <c r="Z1647" s="540"/>
    </row>
    <row r="1648" spans="1:26" ht="19">
      <c r="A1648" s="631"/>
      <c r="B1648" s="631"/>
      <c r="C1648" s="631"/>
      <c r="D1648" s="832"/>
      <c r="E1648" s="631"/>
      <c r="F1648" s="631"/>
      <c r="G1648" s="631"/>
      <c r="H1648" s="833"/>
      <c r="I1648" s="834"/>
      <c r="J1648" s="834"/>
      <c r="K1648" s="835"/>
      <c r="L1648" s="835"/>
      <c r="M1648" s="835"/>
      <c r="N1648" s="835"/>
      <c r="O1648" s="835"/>
      <c r="P1648" s="835"/>
      <c r="Q1648" s="540"/>
      <c r="R1648" s="540"/>
      <c r="S1648" s="540"/>
      <c r="T1648" s="540"/>
      <c r="U1648" s="540"/>
      <c r="V1648" s="540"/>
      <c r="W1648" s="540"/>
      <c r="X1648" s="540"/>
      <c r="Y1648" s="540"/>
      <c r="Z1648" s="540"/>
    </row>
    <row r="1649" spans="1:26" ht="19">
      <c r="A1649" s="631"/>
      <c r="B1649" s="631"/>
      <c r="C1649" s="631"/>
      <c r="D1649" s="832"/>
      <c r="E1649" s="631"/>
      <c r="F1649" s="631"/>
      <c r="G1649" s="631"/>
      <c r="H1649" s="833"/>
      <c r="I1649" s="834"/>
      <c r="J1649" s="834"/>
      <c r="K1649" s="835"/>
      <c r="L1649" s="835"/>
      <c r="M1649" s="835"/>
      <c r="N1649" s="835"/>
      <c r="O1649" s="835"/>
      <c r="P1649" s="835"/>
      <c r="Q1649" s="540"/>
      <c r="R1649" s="540"/>
      <c r="S1649" s="540"/>
      <c r="T1649" s="540"/>
      <c r="U1649" s="540"/>
      <c r="V1649" s="540"/>
      <c r="W1649" s="540"/>
      <c r="X1649" s="540"/>
      <c r="Y1649" s="540"/>
      <c r="Z1649" s="540"/>
    </row>
    <row r="1650" spans="1:26" ht="19">
      <c r="A1650" s="631"/>
      <c r="B1650" s="631"/>
      <c r="C1650" s="631"/>
      <c r="D1650" s="832"/>
      <c r="E1650" s="631"/>
      <c r="F1650" s="631"/>
      <c r="G1650" s="631"/>
      <c r="H1650" s="833"/>
      <c r="I1650" s="834"/>
      <c r="J1650" s="834"/>
      <c r="K1650" s="835"/>
      <c r="L1650" s="835"/>
      <c r="M1650" s="835"/>
      <c r="N1650" s="835"/>
      <c r="O1650" s="835"/>
      <c r="P1650" s="835"/>
      <c r="Q1650" s="540"/>
      <c r="R1650" s="540"/>
      <c r="S1650" s="540"/>
      <c r="T1650" s="540"/>
      <c r="U1650" s="540"/>
      <c r="V1650" s="540"/>
      <c r="W1650" s="540"/>
      <c r="X1650" s="540"/>
      <c r="Y1650" s="540"/>
      <c r="Z1650" s="540"/>
    </row>
    <row r="1651" spans="1:26" ht="19">
      <c r="A1651" s="631"/>
      <c r="B1651" s="631"/>
      <c r="C1651" s="631"/>
      <c r="D1651" s="832"/>
      <c r="E1651" s="631"/>
      <c r="F1651" s="631"/>
      <c r="G1651" s="631"/>
      <c r="H1651" s="833"/>
      <c r="I1651" s="834"/>
      <c r="J1651" s="834"/>
      <c r="K1651" s="835"/>
      <c r="L1651" s="835"/>
      <c r="M1651" s="835"/>
      <c r="N1651" s="835"/>
      <c r="O1651" s="835"/>
      <c r="P1651" s="835"/>
      <c r="Q1651" s="540"/>
      <c r="R1651" s="540"/>
      <c r="S1651" s="540"/>
      <c r="T1651" s="540"/>
      <c r="U1651" s="540"/>
      <c r="V1651" s="540"/>
      <c r="W1651" s="540"/>
      <c r="X1651" s="540"/>
      <c r="Y1651" s="540"/>
      <c r="Z1651" s="540"/>
    </row>
    <row r="1652" spans="1:26" ht="19">
      <c r="A1652" s="631"/>
      <c r="B1652" s="631"/>
      <c r="C1652" s="631"/>
      <c r="D1652" s="832"/>
      <c r="E1652" s="631"/>
      <c r="F1652" s="631"/>
      <c r="G1652" s="631"/>
      <c r="H1652" s="833"/>
      <c r="I1652" s="834"/>
      <c r="J1652" s="834"/>
      <c r="K1652" s="835"/>
      <c r="L1652" s="835"/>
      <c r="M1652" s="835"/>
      <c r="N1652" s="835"/>
      <c r="O1652" s="835"/>
      <c r="P1652" s="835"/>
      <c r="Q1652" s="540"/>
      <c r="R1652" s="540"/>
      <c r="S1652" s="540"/>
      <c r="T1652" s="540"/>
      <c r="U1652" s="540"/>
      <c r="V1652" s="540"/>
      <c r="W1652" s="540"/>
      <c r="X1652" s="540"/>
      <c r="Y1652" s="540"/>
      <c r="Z1652" s="540"/>
    </row>
    <row r="1653" spans="1:26" ht="19">
      <c r="A1653" s="631"/>
      <c r="B1653" s="631"/>
      <c r="C1653" s="631"/>
      <c r="D1653" s="832"/>
      <c r="E1653" s="631"/>
      <c r="F1653" s="631"/>
      <c r="G1653" s="631"/>
      <c r="H1653" s="833"/>
      <c r="I1653" s="834"/>
      <c r="J1653" s="834"/>
      <c r="K1653" s="835"/>
      <c r="L1653" s="835"/>
      <c r="M1653" s="835"/>
      <c r="N1653" s="835"/>
      <c r="O1653" s="835"/>
      <c r="P1653" s="835"/>
      <c r="Q1653" s="540"/>
      <c r="R1653" s="540"/>
      <c r="S1653" s="540"/>
      <c r="T1653" s="540"/>
      <c r="U1653" s="540"/>
      <c r="V1653" s="540"/>
      <c r="W1653" s="540"/>
      <c r="X1653" s="540"/>
      <c r="Y1653" s="540"/>
      <c r="Z1653" s="540"/>
    </row>
    <row r="1654" spans="1:26" ht="19">
      <c r="A1654" s="631"/>
      <c r="B1654" s="631"/>
      <c r="C1654" s="631"/>
      <c r="D1654" s="832"/>
      <c r="E1654" s="631"/>
      <c r="F1654" s="631"/>
      <c r="G1654" s="631"/>
      <c r="H1654" s="833"/>
      <c r="I1654" s="834"/>
      <c r="J1654" s="834"/>
      <c r="K1654" s="835"/>
      <c r="L1654" s="835"/>
      <c r="M1654" s="835"/>
      <c r="N1654" s="835"/>
      <c r="O1654" s="835"/>
      <c r="P1654" s="835"/>
      <c r="Q1654" s="540"/>
      <c r="R1654" s="540"/>
      <c r="S1654" s="540"/>
      <c r="T1654" s="540"/>
      <c r="U1654" s="540"/>
      <c r="V1654" s="540"/>
      <c r="W1654" s="540"/>
      <c r="X1654" s="540"/>
      <c r="Y1654" s="540"/>
      <c r="Z1654" s="540"/>
    </row>
    <row r="1655" spans="1:26" ht="19">
      <c r="A1655" s="631"/>
      <c r="B1655" s="631"/>
      <c r="C1655" s="631"/>
      <c r="D1655" s="832"/>
      <c r="E1655" s="631"/>
      <c r="F1655" s="631"/>
      <c r="G1655" s="631"/>
      <c r="H1655" s="833"/>
      <c r="I1655" s="834"/>
      <c r="J1655" s="834"/>
      <c r="K1655" s="835"/>
      <c r="L1655" s="835"/>
      <c r="M1655" s="835"/>
      <c r="N1655" s="835"/>
      <c r="O1655" s="835"/>
      <c r="P1655" s="835"/>
      <c r="Q1655" s="540"/>
      <c r="R1655" s="540"/>
      <c r="S1655" s="540"/>
      <c r="T1655" s="540"/>
      <c r="U1655" s="540"/>
      <c r="V1655" s="540"/>
      <c r="W1655" s="540"/>
      <c r="X1655" s="540"/>
      <c r="Y1655" s="540"/>
      <c r="Z1655" s="540"/>
    </row>
    <row r="1656" spans="1:26" ht="19">
      <c r="A1656" s="631"/>
      <c r="B1656" s="631"/>
      <c r="C1656" s="631"/>
      <c r="D1656" s="832"/>
      <c r="E1656" s="631"/>
      <c r="F1656" s="631"/>
      <c r="G1656" s="631"/>
      <c r="H1656" s="833"/>
      <c r="I1656" s="834"/>
      <c r="J1656" s="834"/>
      <c r="K1656" s="835"/>
      <c r="L1656" s="835"/>
      <c r="M1656" s="835"/>
      <c r="N1656" s="835"/>
      <c r="O1656" s="835"/>
      <c r="P1656" s="835"/>
      <c r="Q1656" s="540"/>
      <c r="R1656" s="540"/>
      <c r="S1656" s="540"/>
      <c r="T1656" s="540"/>
      <c r="U1656" s="540"/>
      <c r="V1656" s="540"/>
      <c r="W1656" s="540"/>
      <c r="X1656" s="540"/>
      <c r="Y1656" s="540"/>
      <c r="Z1656" s="540"/>
    </row>
    <row r="1657" spans="1:26" ht="19">
      <c r="A1657" s="631"/>
      <c r="B1657" s="631"/>
      <c r="C1657" s="631"/>
      <c r="D1657" s="832"/>
      <c r="E1657" s="631"/>
      <c r="F1657" s="631"/>
      <c r="G1657" s="631"/>
      <c r="H1657" s="833"/>
      <c r="I1657" s="834"/>
      <c r="J1657" s="834"/>
      <c r="K1657" s="835"/>
      <c r="L1657" s="835"/>
      <c r="M1657" s="835"/>
      <c r="N1657" s="835"/>
      <c r="O1657" s="835"/>
      <c r="P1657" s="835"/>
      <c r="Q1657" s="540"/>
      <c r="R1657" s="540"/>
      <c r="S1657" s="540"/>
      <c r="T1657" s="540"/>
      <c r="U1657" s="540"/>
      <c r="V1657" s="540"/>
      <c r="W1657" s="540"/>
      <c r="X1657" s="540"/>
      <c r="Y1657" s="540"/>
      <c r="Z1657" s="540"/>
    </row>
    <row r="1658" spans="1:26" ht="19">
      <c r="A1658" s="631"/>
      <c r="B1658" s="631"/>
      <c r="C1658" s="631"/>
      <c r="D1658" s="832"/>
      <c r="E1658" s="631"/>
      <c r="F1658" s="631"/>
      <c r="G1658" s="631"/>
      <c r="H1658" s="833"/>
      <c r="I1658" s="834"/>
      <c r="J1658" s="834"/>
      <c r="K1658" s="835"/>
      <c r="L1658" s="835"/>
      <c r="M1658" s="835"/>
      <c r="N1658" s="835"/>
      <c r="O1658" s="835"/>
      <c r="P1658" s="835"/>
      <c r="Q1658" s="540"/>
      <c r="R1658" s="540"/>
      <c r="S1658" s="540"/>
      <c r="T1658" s="540"/>
      <c r="U1658" s="540"/>
      <c r="V1658" s="540"/>
      <c r="W1658" s="540"/>
      <c r="X1658" s="540"/>
      <c r="Y1658" s="540"/>
      <c r="Z1658" s="540"/>
    </row>
    <row r="1659" spans="1:26" ht="19">
      <c r="A1659" s="631"/>
      <c r="B1659" s="631"/>
      <c r="C1659" s="631"/>
      <c r="D1659" s="832"/>
      <c r="E1659" s="631"/>
      <c r="F1659" s="631"/>
      <c r="G1659" s="631"/>
      <c r="H1659" s="833"/>
      <c r="I1659" s="834"/>
      <c r="J1659" s="834"/>
      <c r="K1659" s="835"/>
      <c r="L1659" s="835"/>
      <c r="M1659" s="835"/>
      <c r="N1659" s="835"/>
      <c r="O1659" s="835"/>
      <c r="P1659" s="835"/>
      <c r="Q1659" s="540"/>
      <c r="R1659" s="540"/>
      <c r="S1659" s="540"/>
      <c r="T1659" s="540"/>
      <c r="U1659" s="540"/>
      <c r="V1659" s="540"/>
      <c r="W1659" s="540"/>
      <c r="X1659" s="540"/>
      <c r="Y1659" s="540"/>
      <c r="Z1659" s="540"/>
    </row>
    <row r="1660" spans="1:26" ht="19">
      <c r="A1660" s="631"/>
      <c r="B1660" s="631"/>
      <c r="C1660" s="631"/>
      <c r="D1660" s="832"/>
      <c r="E1660" s="631"/>
      <c r="F1660" s="631"/>
      <c r="G1660" s="631"/>
      <c r="H1660" s="833"/>
      <c r="I1660" s="834"/>
      <c r="J1660" s="834"/>
      <c r="K1660" s="835"/>
      <c r="L1660" s="835"/>
      <c r="M1660" s="835"/>
      <c r="N1660" s="835"/>
      <c r="O1660" s="835"/>
      <c r="P1660" s="835"/>
      <c r="Q1660" s="540"/>
      <c r="R1660" s="540"/>
      <c r="S1660" s="540"/>
      <c r="T1660" s="540"/>
      <c r="U1660" s="540"/>
      <c r="V1660" s="540"/>
      <c r="W1660" s="540"/>
      <c r="X1660" s="540"/>
      <c r="Y1660" s="540"/>
      <c r="Z1660" s="540"/>
    </row>
    <row r="1661" spans="1:26" ht="19">
      <c r="A1661" s="631"/>
      <c r="B1661" s="631"/>
      <c r="C1661" s="631"/>
      <c r="D1661" s="832"/>
      <c r="E1661" s="631"/>
      <c r="F1661" s="631"/>
      <c r="G1661" s="631"/>
      <c r="H1661" s="833"/>
      <c r="I1661" s="834"/>
      <c r="J1661" s="834"/>
      <c r="K1661" s="835"/>
      <c r="L1661" s="835"/>
      <c r="M1661" s="835"/>
      <c r="N1661" s="835"/>
      <c r="O1661" s="835"/>
      <c r="P1661" s="835"/>
      <c r="Q1661" s="540"/>
      <c r="R1661" s="540"/>
      <c r="S1661" s="540"/>
      <c r="T1661" s="540"/>
      <c r="U1661" s="540"/>
      <c r="V1661" s="540"/>
      <c r="W1661" s="540"/>
      <c r="X1661" s="540"/>
      <c r="Y1661" s="540"/>
      <c r="Z1661" s="540"/>
    </row>
    <row r="1662" spans="1:26" ht="19">
      <c r="A1662" s="631"/>
      <c r="B1662" s="631"/>
      <c r="C1662" s="631"/>
      <c r="D1662" s="832"/>
      <c r="E1662" s="631"/>
      <c r="F1662" s="631"/>
      <c r="G1662" s="631"/>
      <c r="H1662" s="833"/>
      <c r="I1662" s="834"/>
      <c r="J1662" s="834"/>
      <c r="K1662" s="835"/>
      <c r="L1662" s="835"/>
      <c r="M1662" s="835"/>
      <c r="N1662" s="835"/>
      <c r="O1662" s="835"/>
      <c r="P1662" s="835"/>
      <c r="Q1662" s="540"/>
      <c r="R1662" s="540"/>
      <c r="S1662" s="540"/>
      <c r="T1662" s="540"/>
      <c r="U1662" s="540"/>
      <c r="V1662" s="540"/>
      <c r="W1662" s="540"/>
      <c r="X1662" s="540"/>
      <c r="Y1662" s="540"/>
      <c r="Z1662" s="540"/>
    </row>
    <row r="1663" spans="1:26" ht="19">
      <c r="A1663" s="631"/>
      <c r="B1663" s="631"/>
      <c r="C1663" s="631"/>
      <c r="D1663" s="832"/>
      <c r="E1663" s="631"/>
      <c r="F1663" s="631"/>
      <c r="G1663" s="631"/>
      <c r="H1663" s="833"/>
      <c r="I1663" s="834"/>
      <c r="J1663" s="834"/>
      <c r="K1663" s="835"/>
      <c r="L1663" s="835"/>
      <c r="M1663" s="835"/>
      <c r="N1663" s="835"/>
      <c r="O1663" s="835"/>
      <c r="P1663" s="835"/>
      <c r="Q1663" s="540"/>
      <c r="R1663" s="540"/>
      <c r="S1663" s="540"/>
      <c r="T1663" s="540"/>
      <c r="U1663" s="540"/>
      <c r="V1663" s="540"/>
      <c r="W1663" s="540"/>
      <c r="X1663" s="540"/>
      <c r="Y1663" s="540"/>
      <c r="Z1663" s="540"/>
    </row>
    <row r="1664" spans="1:26" ht="19">
      <c r="A1664" s="631"/>
      <c r="B1664" s="631"/>
      <c r="C1664" s="631"/>
      <c r="D1664" s="832"/>
      <c r="E1664" s="631"/>
      <c r="F1664" s="631"/>
      <c r="G1664" s="631"/>
      <c r="H1664" s="833"/>
      <c r="I1664" s="834"/>
      <c r="J1664" s="834"/>
      <c r="K1664" s="835"/>
      <c r="L1664" s="835"/>
      <c r="M1664" s="835"/>
      <c r="N1664" s="835"/>
      <c r="O1664" s="835"/>
      <c r="P1664" s="835"/>
      <c r="Q1664" s="540"/>
      <c r="R1664" s="540"/>
      <c r="S1664" s="540"/>
      <c r="T1664" s="540"/>
      <c r="U1664" s="540"/>
      <c r="V1664" s="540"/>
      <c r="W1664" s="540"/>
      <c r="X1664" s="540"/>
      <c r="Y1664" s="540"/>
      <c r="Z1664" s="540"/>
    </row>
    <row r="1665" spans="1:26" ht="19">
      <c r="A1665" s="631"/>
      <c r="B1665" s="631"/>
      <c r="C1665" s="631"/>
      <c r="D1665" s="832"/>
      <c r="E1665" s="631"/>
      <c r="F1665" s="631"/>
      <c r="G1665" s="631"/>
      <c r="H1665" s="833"/>
      <c r="I1665" s="834"/>
      <c r="J1665" s="834"/>
      <c r="K1665" s="835"/>
      <c r="L1665" s="835"/>
      <c r="M1665" s="835"/>
      <c r="N1665" s="835"/>
      <c r="O1665" s="835"/>
      <c r="P1665" s="835"/>
      <c r="Q1665" s="540"/>
      <c r="R1665" s="540"/>
      <c r="S1665" s="540"/>
      <c r="T1665" s="540"/>
      <c r="U1665" s="540"/>
      <c r="V1665" s="540"/>
      <c r="W1665" s="540"/>
      <c r="X1665" s="540"/>
      <c r="Y1665" s="540"/>
      <c r="Z1665" s="540"/>
    </row>
    <row r="1666" spans="1:26" ht="19">
      <c r="A1666" s="631"/>
      <c r="B1666" s="631"/>
      <c r="C1666" s="631"/>
      <c r="D1666" s="832"/>
      <c r="E1666" s="631"/>
      <c r="F1666" s="631"/>
      <c r="G1666" s="631"/>
      <c r="H1666" s="833"/>
      <c r="I1666" s="834"/>
      <c r="J1666" s="834"/>
      <c r="K1666" s="835"/>
      <c r="L1666" s="835"/>
      <c r="M1666" s="835"/>
      <c r="N1666" s="835"/>
      <c r="O1666" s="835"/>
      <c r="P1666" s="835"/>
      <c r="Q1666" s="540"/>
      <c r="R1666" s="540"/>
      <c r="S1666" s="540"/>
      <c r="T1666" s="540"/>
      <c r="U1666" s="540"/>
      <c r="V1666" s="540"/>
      <c r="W1666" s="540"/>
      <c r="X1666" s="540"/>
      <c r="Y1666" s="540"/>
      <c r="Z1666" s="540"/>
    </row>
    <row r="1667" spans="1:26" ht="19">
      <c r="A1667" s="631"/>
      <c r="B1667" s="631"/>
      <c r="C1667" s="631"/>
      <c r="D1667" s="832"/>
      <c r="E1667" s="631"/>
      <c r="F1667" s="631"/>
      <c r="G1667" s="631"/>
      <c r="H1667" s="833"/>
      <c r="I1667" s="834"/>
      <c r="J1667" s="834"/>
      <c r="K1667" s="835"/>
      <c r="L1667" s="835"/>
      <c r="M1667" s="835"/>
      <c r="N1667" s="835"/>
      <c r="O1667" s="835"/>
      <c r="P1667" s="835"/>
      <c r="Q1667" s="540"/>
      <c r="R1667" s="540"/>
      <c r="S1667" s="540"/>
      <c r="T1667" s="540"/>
      <c r="U1667" s="540"/>
      <c r="V1667" s="540"/>
      <c r="W1667" s="540"/>
      <c r="X1667" s="540"/>
      <c r="Y1667" s="540"/>
      <c r="Z1667" s="540"/>
    </row>
    <row r="1668" spans="1:26" ht="19">
      <c r="A1668" s="631"/>
      <c r="B1668" s="631"/>
      <c r="C1668" s="631"/>
      <c r="D1668" s="832"/>
      <c r="E1668" s="631"/>
      <c r="F1668" s="631"/>
      <c r="G1668" s="631"/>
      <c r="H1668" s="833"/>
      <c r="I1668" s="834"/>
      <c r="J1668" s="834"/>
      <c r="K1668" s="835"/>
      <c r="L1668" s="835"/>
      <c r="M1668" s="835"/>
      <c r="N1668" s="835"/>
      <c r="O1668" s="835"/>
      <c r="P1668" s="835"/>
      <c r="Q1668" s="540"/>
      <c r="R1668" s="540"/>
      <c r="S1668" s="540"/>
      <c r="T1668" s="540"/>
      <c r="U1668" s="540"/>
      <c r="V1668" s="540"/>
      <c r="W1668" s="540"/>
      <c r="X1668" s="540"/>
      <c r="Y1668" s="540"/>
      <c r="Z1668" s="540"/>
    </row>
    <row r="1669" spans="1:26" ht="19">
      <c r="A1669" s="631"/>
      <c r="B1669" s="631"/>
      <c r="C1669" s="631"/>
      <c r="D1669" s="832"/>
      <c r="E1669" s="631"/>
      <c r="F1669" s="631"/>
      <c r="G1669" s="631"/>
      <c r="H1669" s="833"/>
      <c r="I1669" s="834"/>
      <c r="J1669" s="834"/>
      <c r="K1669" s="835"/>
      <c r="L1669" s="835"/>
      <c r="M1669" s="835"/>
      <c r="N1669" s="835"/>
      <c r="O1669" s="835"/>
      <c r="P1669" s="835"/>
      <c r="Q1669" s="540"/>
      <c r="R1669" s="540"/>
      <c r="S1669" s="540"/>
      <c r="T1669" s="540"/>
      <c r="U1669" s="540"/>
      <c r="V1669" s="540"/>
      <c r="W1669" s="540"/>
      <c r="X1669" s="540"/>
      <c r="Y1669" s="540"/>
      <c r="Z1669" s="540"/>
    </row>
    <row r="1670" spans="1:26" ht="19">
      <c r="A1670" s="631"/>
      <c r="B1670" s="631"/>
      <c r="C1670" s="631"/>
      <c r="D1670" s="832"/>
      <c r="E1670" s="631"/>
      <c r="F1670" s="631"/>
      <c r="G1670" s="631"/>
      <c r="H1670" s="833"/>
      <c r="I1670" s="834"/>
      <c r="J1670" s="834"/>
      <c r="K1670" s="835"/>
      <c r="L1670" s="835"/>
      <c r="M1670" s="835"/>
      <c r="N1670" s="835"/>
      <c r="O1670" s="835"/>
      <c r="P1670" s="835"/>
      <c r="Q1670" s="540"/>
      <c r="R1670" s="540"/>
      <c r="S1670" s="540"/>
      <c r="T1670" s="540"/>
      <c r="U1670" s="540"/>
      <c r="V1670" s="540"/>
      <c r="W1670" s="540"/>
      <c r="X1670" s="540"/>
      <c r="Y1670" s="540"/>
      <c r="Z1670" s="540"/>
    </row>
    <row r="1671" spans="1:26" ht="19">
      <c r="A1671" s="631"/>
      <c r="B1671" s="631"/>
      <c r="C1671" s="631"/>
      <c r="D1671" s="832"/>
      <c r="E1671" s="631"/>
      <c r="F1671" s="631"/>
      <c r="G1671" s="631"/>
      <c r="H1671" s="833"/>
      <c r="I1671" s="834"/>
      <c r="J1671" s="834"/>
      <c r="K1671" s="835"/>
      <c r="L1671" s="835"/>
      <c r="M1671" s="835"/>
      <c r="N1671" s="835"/>
      <c r="O1671" s="835"/>
      <c r="P1671" s="835"/>
      <c r="Q1671" s="540"/>
      <c r="R1671" s="540"/>
      <c r="S1671" s="540"/>
      <c r="T1671" s="540"/>
      <c r="U1671" s="540"/>
      <c r="V1671" s="540"/>
      <c r="W1671" s="540"/>
      <c r="X1671" s="540"/>
      <c r="Y1671" s="540"/>
      <c r="Z1671" s="540"/>
    </row>
    <row r="1672" spans="1:26" ht="19">
      <c r="A1672" s="631"/>
      <c r="B1672" s="631"/>
      <c r="C1672" s="631"/>
      <c r="D1672" s="832"/>
      <c r="E1672" s="631"/>
      <c r="F1672" s="631"/>
      <c r="G1672" s="631"/>
      <c r="H1672" s="833"/>
      <c r="I1672" s="834"/>
      <c r="J1672" s="834"/>
      <c r="K1672" s="835"/>
      <c r="L1672" s="835"/>
      <c r="M1672" s="835"/>
      <c r="N1672" s="835"/>
      <c r="O1672" s="835"/>
      <c r="P1672" s="835"/>
      <c r="Q1672" s="540"/>
      <c r="R1672" s="540"/>
      <c r="S1672" s="540"/>
      <c r="T1672" s="540"/>
      <c r="U1672" s="540"/>
      <c r="V1672" s="540"/>
      <c r="W1672" s="540"/>
      <c r="X1672" s="540"/>
      <c r="Y1672" s="540"/>
      <c r="Z1672" s="540"/>
    </row>
    <row r="1673" spans="1:26" ht="19">
      <c r="A1673" s="631"/>
      <c r="B1673" s="631"/>
      <c r="C1673" s="631"/>
      <c r="D1673" s="832"/>
      <c r="E1673" s="631"/>
      <c r="F1673" s="631"/>
      <c r="G1673" s="631"/>
      <c r="H1673" s="833"/>
      <c r="I1673" s="834"/>
      <c r="J1673" s="834"/>
      <c r="K1673" s="835"/>
      <c r="L1673" s="835"/>
      <c r="M1673" s="835"/>
      <c r="N1673" s="835"/>
      <c r="O1673" s="835"/>
      <c r="P1673" s="835"/>
      <c r="Q1673" s="540"/>
      <c r="R1673" s="540"/>
      <c r="S1673" s="540"/>
      <c r="T1673" s="540"/>
      <c r="U1673" s="540"/>
      <c r="V1673" s="540"/>
      <c r="W1673" s="540"/>
      <c r="X1673" s="540"/>
      <c r="Y1673" s="540"/>
      <c r="Z1673" s="540"/>
    </row>
    <row r="1674" spans="1:26" ht="19">
      <c r="A1674" s="631"/>
      <c r="B1674" s="631"/>
      <c r="C1674" s="631"/>
      <c r="D1674" s="832"/>
      <c r="E1674" s="631"/>
      <c r="F1674" s="631"/>
      <c r="G1674" s="631"/>
      <c r="H1674" s="833"/>
      <c r="I1674" s="834"/>
      <c r="J1674" s="834"/>
      <c r="K1674" s="835"/>
      <c r="L1674" s="835"/>
      <c r="M1674" s="835"/>
      <c r="N1674" s="835"/>
      <c r="O1674" s="835"/>
      <c r="P1674" s="835"/>
      <c r="Q1674" s="540"/>
      <c r="R1674" s="540"/>
      <c r="S1674" s="540"/>
      <c r="T1674" s="540"/>
      <c r="U1674" s="540"/>
      <c r="V1674" s="540"/>
      <c r="W1674" s="540"/>
      <c r="X1674" s="540"/>
      <c r="Y1674" s="540"/>
      <c r="Z1674" s="540"/>
    </row>
    <row r="1675" spans="1:26" ht="19">
      <c r="A1675" s="631"/>
      <c r="B1675" s="631"/>
      <c r="C1675" s="631"/>
      <c r="D1675" s="832"/>
      <c r="E1675" s="631"/>
      <c r="F1675" s="631"/>
      <c r="G1675" s="631"/>
      <c r="H1675" s="833"/>
      <c r="I1675" s="834"/>
      <c r="J1675" s="834"/>
      <c r="K1675" s="835"/>
      <c r="L1675" s="835"/>
      <c r="M1675" s="835"/>
      <c r="N1675" s="835"/>
      <c r="O1675" s="835"/>
      <c r="P1675" s="835"/>
      <c r="Q1675" s="540"/>
      <c r="R1675" s="540"/>
      <c r="S1675" s="540"/>
      <c r="T1675" s="540"/>
      <c r="U1675" s="540"/>
      <c r="V1675" s="540"/>
      <c r="W1675" s="540"/>
      <c r="X1675" s="540"/>
      <c r="Y1675" s="540"/>
      <c r="Z1675" s="540"/>
    </row>
    <row r="1676" spans="1:26" ht="19">
      <c r="A1676" s="631"/>
      <c r="B1676" s="631"/>
      <c r="C1676" s="631"/>
      <c r="D1676" s="832"/>
      <c r="E1676" s="631"/>
      <c r="F1676" s="631"/>
      <c r="G1676" s="631"/>
      <c r="H1676" s="833"/>
      <c r="I1676" s="834"/>
      <c r="J1676" s="834"/>
      <c r="K1676" s="835"/>
      <c r="L1676" s="835"/>
      <c r="M1676" s="835"/>
      <c r="N1676" s="835"/>
      <c r="O1676" s="835"/>
      <c r="P1676" s="835"/>
      <c r="Q1676" s="540"/>
      <c r="R1676" s="540"/>
      <c r="S1676" s="540"/>
      <c r="T1676" s="540"/>
      <c r="U1676" s="540"/>
      <c r="V1676" s="540"/>
      <c r="W1676" s="540"/>
      <c r="X1676" s="540"/>
      <c r="Y1676" s="540"/>
      <c r="Z1676" s="540"/>
    </row>
    <row r="1677" spans="1:26" ht="19">
      <c r="A1677" s="631"/>
      <c r="B1677" s="631"/>
      <c r="C1677" s="631"/>
      <c r="D1677" s="832"/>
      <c r="E1677" s="631"/>
      <c r="F1677" s="631"/>
      <c r="G1677" s="631"/>
      <c r="H1677" s="833"/>
      <c r="I1677" s="834"/>
      <c r="J1677" s="834"/>
      <c r="K1677" s="835"/>
      <c r="L1677" s="835"/>
      <c r="M1677" s="835"/>
      <c r="N1677" s="835"/>
      <c r="O1677" s="835"/>
      <c r="P1677" s="835"/>
      <c r="Q1677" s="540"/>
      <c r="R1677" s="540"/>
      <c r="S1677" s="540"/>
      <c r="T1677" s="540"/>
      <c r="U1677" s="540"/>
      <c r="V1677" s="540"/>
      <c r="W1677" s="540"/>
      <c r="X1677" s="540"/>
      <c r="Y1677" s="540"/>
      <c r="Z1677" s="540"/>
    </row>
    <row r="1678" spans="1:26" ht="19">
      <c r="A1678" s="631"/>
      <c r="B1678" s="631"/>
      <c r="C1678" s="631"/>
      <c r="D1678" s="832"/>
      <c r="E1678" s="631"/>
      <c r="F1678" s="631"/>
      <c r="G1678" s="631"/>
      <c r="H1678" s="833"/>
      <c r="I1678" s="834"/>
      <c r="J1678" s="834"/>
      <c r="K1678" s="835"/>
      <c r="L1678" s="835"/>
      <c r="M1678" s="835"/>
      <c r="N1678" s="835"/>
      <c r="O1678" s="835"/>
      <c r="P1678" s="835"/>
      <c r="Q1678" s="540"/>
      <c r="R1678" s="540"/>
      <c r="S1678" s="540"/>
      <c r="T1678" s="540"/>
      <c r="U1678" s="540"/>
      <c r="V1678" s="540"/>
      <c r="W1678" s="540"/>
      <c r="X1678" s="540"/>
      <c r="Y1678" s="540"/>
      <c r="Z1678" s="540"/>
    </row>
    <row r="1679" spans="1:26" ht="19">
      <c r="A1679" s="631"/>
      <c r="B1679" s="631"/>
      <c r="C1679" s="631"/>
      <c r="D1679" s="832"/>
      <c r="E1679" s="631"/>
      <c r="F1679" s="631"/>
      <c r="G1679" s="631"/>
      <c r="H1679" s="833"/>
      <c r="I1679" s="834"/>
      <c r="J1679" s="834"/>
      <c r="K1679" s="835"/>
      <c r="L1679" s="835"/>
      <c r="M1679" s="835"/>
      <c r="N1679" s="835"/>
      <c r="O1679" s="835"/>
      <c r="P1679" s="835"/>
      <c r="Q1679" s="540"/>
      <c r="R1679" s="540"/>
      <c r="S1679" s="540"/>
      <c r="T1679" s="540"/>
      <c r="U1679" s="540"/>
      <c r="V1679" s="540"/>
      <c r="W1679" s="540"/>
      <c r="X1679" s="540"/>
      <c r="Y1679" s="540"/>
      <c r="Z1679" s="540"/>
    </row>
    <row r="1680" spans="1:26" ht="19">
      <c r="A1680" s="631"/>
      <c r="B1680" s="631"/>
      <c r="C1680" s="631"/>
      <c r="D1680" s="832"/>
      <c r="E1680" s="631"/>
      <c r="F1680" s="631"/>
      <c r="G1680" s="631"/>
      <c r="H1680" s="833"/>
      <c r="I1680" s="834"/>
      <c r="J1680" s="834"/>
      <c r="K1680" s="835"/>
      <c r="L1680" s="835"/>
      <c r="M1680" s="835"/>
      <c r="N1680" s="835"/>
      <c r="O1680" s="835"/>
      <c r="P1680" s="835"/>
      <c r="Q1680" s="540"/>
      <c r="R1680" s="540"/>
      <c r="S1680" s="540"/>
      <c r="T1680" s="540"/>
      <c r="U1680" s="540"/>
      <c r="V1680" s="540"/>
      <c r="W1680" s="540"/>
      <c r="X1680" s="540"/>
      <c r="Y1680" s="540"/>
      <c r="Z1680" s="540"/>
    </row>
    <row r="1681" spans="1:26" ht="19">
      <c r="A1681" s="631"/>
      <c r="B1681" s="631"/>
      <c r="C1681" s="631"/>
      <c r="D1681" s="832"/>
      <c r="E1681" s="631"/>
      <c r="F1681" s="631"/>
      <c r="G1681" s="631"/>
      <c r="H1681" s="833"/>
      <c r="I1681" s="834"/>
      <c r="J1681" s="834"/>
      <c r="K1681" s="835"/>
      <c r="L1681" s="835"/>
      <c r="M1681" s="835"/>
      <c r="N1681" s="835"/>
      <c r="O1681" s="835"/>
      <c r="P1681" s="835"/>
      <c r="Q1681" s="540"/>
      <c r="R1681" s="540"/>
      <c r="S1681" s="540"/>
      <c r="T1681" s="540"/>
      <c r="U1681" s="540"/>
      <c r="V1681" s="540"/>
      <c r="W1681" s="540"/>
      <c r="X1681" s="540"/>
      <c r="Y1681" s="540"/>
      <c r="Z1681" s="540"/>
    </row>
    <row r="1682" spans="1:26" ht="19">
      <c r="A1682" s="631"/>
      <c r="B1682" s="631"/>
      <c r="C1682" s="631"/>
      <c r="D1682" s="832"/>
      <c r="E1682" s="631"/>
      <c r="F1682" s="631"/>
      <c r="G1682" s="631"/>
      <c r="H1682" s="833"/>
      <c r="I1682" s="834"/>
      <c r="J1682" s="834"/>
      <c r="K1682" s="835"/>
      <c r="L1682" s="835"/>
      <c r="M1682" s="835"/>
      <c r="N1682" s="835"/>
      <c r="O1682" s="835"/>
      <c r="P1682" s="835"/>
      <c r="Q1682" s="540"/>
      <c r="R1682" s="540"/>
      <c r="S1682" s="540"/>
      <c r="T1682" s="540"/>
      <c r="U1682" s="540"/>
      <c r="V1682" s="540"/>
      <c r="W1682" s="540"/>
      <c r="X1682" s="540"/>
      <c r="Y1682" s="540"/>
      <c r="Z1682" s="540"/>
    </row>
    <row r="1683" spans="1:26" ht="19">
      <c r="A1683" s="631"/>
      <c r="B1683" s="631"/>
      <c r="C1683" s="631"/>
      <c r="D1683" s="832"/>
      <c r="E1683" s="631"/>
      <c r="F1683" s="631"/>
      <c r="G1683" s="631"/>
      <c r="H1683" s="833"/>
      <c r="I1683" s="834"/>
      <c r="J1683" s="834"/>
      <c r="K1683" s="835"/>
      <c r="L1683" s="835"/>
      <c r="M1683" s="835"/>
      <c r="N1683" s="835"/>
      <c r="O1683" s="835"/>
      <c r="P1683" s="835"/>
      <c r="Q1683" s="540"/>
      <c r="R1683" s="540"/>
      <c r="S1683" s="540"/>
      <c r="T1683" s="540"/>
      <c r="U1683" s="540"/>
      <c r="V1683" s="540"/>
      <c r="W1683" s="540"/>
      <c r="X1683" s="540"/>
      <c r="Y1683" s="540"/>
      <c r="Z1683" s="540"/>
    </row>
    <row r="1684" spans="1:26" ht="19">
      <c r="A1684" s="631"/>
      <c r="B1684" s="631"/>
      <c r="C1684" s="631"/>
      <c r="D1684" s="832"/>
      <c r="E1684" s="631"/>
      <c r="F1684" s="631"/>
      <c r="G1684" s="631"/>
      <c r="H1684" s="833"/>
      <c r="I1684" s="834"/>
      <c r="J1684" s="834"/>
      <c r="K1684" s="835"/>
      <c r="L1684" s="835"/>
      <c r="M1684" s="835"/>
      <c r="N1684" s="835"/>
      <c r="O1684" s="835"/>
      <c r="P1684" s="835"/>
      <c r="Q1684" s="540"/>
      <c r="R1684" s="540"/>
      <c r="S1684" s="540"/>
      <c r="T1684" s="540"/>
      <c r="U1684" s="540"/>
      <c r="V1684" s="540"/>
      <c r="W1684" s="540"/>
      <c r="X1684" s="540"/>
      <c r="Y1684" s="540"/>
      <c r="Z1684" s="540"/>
    </row>
    <row r="1685" spans="1:26" ht="19">
      <c r="A1685" s="631"/>
      <c r="B1685" s="631"/>
      <c r="C1685" s="631"/>
      <c r="D1685" s="832"/>
      <c r="E1685" s="631"/>
      <c r="F1685" s="631"/>
      <c r="G1685" s="631"/>
      <c r="H1685" s="833"/>
      <c r="I1685" s="834"/>
      <c r="J1685" s="834"/>
      <c r="K1685" s="835"/>
      <c r="L1685" s="835"/>
      <c r="M1685" s="835"/>
      <c r="N1685" s="835"/>
      <c r="O1685" s="835"/>
      <c r="P1685" s="835"/>
      <c r="Q1685" s="540"/>
      <c r="R1685" s="540"/>
      <c r="S1685" s="540"/>
      <c r="T1685" s="540"/>
      <c r="U1685" s="540"/>
      <c r="V1685" s="540"/>
      <c r="W1685" s="540"/>
      <c r="X1685" s="540"/>
      <c r="Y1685" s="540"/>
      <c r="Z1685" s="540"/>
    </row>
    <row r="1686" spans="1:26" ht="19">
      <c r="A1686" s="631"/>
      <c r="B1686" s="631"/>
      <c r="C1686" s="631"/>
      <c r="D1686" s="832"/>
      <c r="E1686" s="631"/>
      <c r="F1686" s="631"/>
      <c r="G1686" s="631"/>
      <c r="H1686" s="833"/>
      <c r="I1686" s="834"/>
      <c r="J1686" s="834"/>
      <c r="K1686" s="835"/>
      <c r="L1686" s="835"/>
      <c r="M1686" s="835"/>
      <c r="N1686" s="835"/>
      <c r="O1686" s="835"/>
      <c r="P1686" s="835"/>
      <c r="Q1686" s="540"/>
      <c r="R1686" s="540"/>
      <c r="S1686" s="540"/>
      <c r="T1686" s="540"/>
      <c r="U1686" s="540"/>
      <c r="V1686" s="540"/>
      <c r="W1686" s="540"/>
      <c r="X1686" s="540"/>
      <c r="Y1686" s="540"/>
      <c r="Z1686" s="540"/>
    </row>
    <row r="1687" spans="1:26" ht="19">
      <c r="A1687" s="631"/>
      <c r="B1687" s="631"/>
      <c r="C1687" s="631"/>
      <c r="D1687" s="832"/>
      <c r="E1687" s="631"/>
      <c r="F1687" s="631"/>
      <c r="G1687" s="631"/>
      <c r="H1687" s="833"/>
      <c r="I1687" s="834"/>
      <c r="J1687" s="834"/>
      <c r="K1687" s="835"/>
      <c r="L1687" s="835"/>
      <c r="M1687" s="835"/>
      <c r="N1687" s="835"/>
      <c r="O1687" s="835"/>
      <c r="P1687" s="835"/>
      <c r="Q1687" s="540"/>
      <c r="R1687" s="540"/>
      <c r="S1687" s="540"/>
      <c r="T1687" s="540"/>
      <c r="U1687" s="540"/>
      <c r="V1687" s="540"/>
      <c r="W1687" s="540"/>
      <c r="X1687" s="540"/>
      <c r="Y1687" s="540"/>
      <c r="Z1687" s="540"/>
    </row>
    <row r="1688" spans="1:26" ht="19">
      <c r="A1688" s="631"/>
      <c r="B1688" s="631"/>
      <c r="C1688" s="631"/>
      <c r="D1688" s="832"/>
      <c r="E1688" s="631"/>
      <c r="F1688" s="631"/>
      <c r="G1688" s="631"/>
      <c r="H1688" s="833"/>
      <c r="I1688" s="834"/>
      <c r="J1688" s="834"/>
      <c r="K1688" s="835"/>
      <c r="L1688" s="835"/>
      <c r="M1688" s="835"/>
      <c r="N1688" s="835"/>
      <c r="O1688" s="835"/>
      <c r="P1688" s="835"/>
      <c r="Q1688" s="540"/>
      <c r="R1688" s="540"/>
      <c r="S1688" s="540"/>
      <c r="T1688" s="540"/>
      <c r="U1688" s="540"/>
      <c r="V1688" s="540"/>
      <c r="W1688" s="540"/>
      <c r="X1688" s="540"/>
      <c r="Y1688" s="540"/>
      <c r="Z1688" s="540"/>
    </row>
    <row r="1689" spans="1:26" ht="19">
      <c r="A1689" s="631"/>
      <c r="B1689" s="631"/>
      <c r="C1689" s="631"/>
      <c r="D1689" s="832"/>
      <c r="E1689" s="631"/>
      <c r="F1689" s="631"/>
      <c r="G1689" s="631"/>
      <c r="H1689" s="833"/>
      <c r="I1689" s="834"/>
      <c r="J1689" s="834"/>
      <c r="K1689" s="835"/>
      <c r="L1689" s="835"/>
      <c r="M1689" s="835"/>
      <c r="N1689" s="835"/>
      <c r="O1689" s="835"/>
      <c r="P1689" s="835"/>
      <c r="Q1689" s="540"/>
      <c r="R1689" s="540"/>
      <c r="S1689" s="540"/>
      <c r="T1689" s="540"/>
      <c r="U1689" s="540"/>
      <c r="V1689" s="540"/>
      <c r="W1689" s="540"/>
      <c r="X1689" s="540"/>
      <c r="Y1689" s="540"/>
      <c r="Z1689" s="540"/>
    </row>
    <row r="1690" spans="1:26" ht="19">
      <c r="A1690" s="631"/>
      <c r="B1690" s="631"/>
      <c r="C1690" s="631"/>
      <c r="D1690" s="832"/>
      <c r="E1690" s="631"/>
      <c r="F1690" s="631"/>
      <c r="G1690" s="631"/>
      <c r="H1690" s="833"/>
      <c r="I1690" s="834"/>
      <c r="J1690" s="834"/>
      <c r="K1690" s="835"/>
      <c r="L1690" s="835"/>
      <c r="M1690" s="835"/>
      <c r="N1690" s="835"/>
      <c r="O1690" s="835"/>
      <c r="P1690" s="835"/>
      <c r="Q1690" s="540"/>
      <c r="R1690" s="540"/>
      <c r="S1690" s="540"/>
      <c r="T1690" s="540"/>
      <c r="U1690" s="540"/>
      <c r="V1690" s="540"/>
      <c r="W1690" s="540"/>
      <c r="X1690" s="540"/>
      <c r="Y1690" s="540"/>
      <c r="Z1690" s="540"/>
    </row>
    <row r="1691" spans="1:26" ht="19">
      <c r="A1691" s="631"/>
      <c r="B1691" s="631"/>
      <c r="C1691" s="631"/>
      <c r="D1691" s="832"/>
      <c r="E1691" s="631"/>
      <c r="F1691" s="631"/>
      <c r="G1691" s="631"/>
      <c r="H1691" s="833"/>
      <c r="I1691" s="834"/>
      <c r="J1691" s="834"/>
      <c r="K1691" s="835"/>
      <c r="L1691" s="835"/>
      <c r="M1691" s="835"/>
      <c r="N1691" s="835"/>
      <c r="O1691" s="835"/>
      <c r="P1691" s="835"/>
      <c r="Q1691" s="540"/>
      <c r="R1691" s="540"/>
      <c r="S1691" s="540"/>
      <c r="T1691" s="540"/>
      <c r="U1691" s="540"/>
      <c r="V1691" s="540"/>
      <c r="W1691" s="540"/>
      <c r="X1691" s="540"/>
      <c r="Y1691" s="540"/>
      <c r="Z1691" s="540"/>
    </row>
    <row r="1692" spans="1:26" ht="19">
      <c r="A1692" s="631"/>
      <c r="B1692" s="631"/>
      <c r="C1692" s="631"/>
      <c r="D1692" s="832"/>
      <c r="E1692" s="631"/>
      <c r="F1692" s="631"/>
      <c r="G1692" s="631"/>
      <c r="H1692" s="833"/>
      <c r="I1692" s="834"/>
      <c r="J1692" s="834"/>
      <c r="K1692" s="835"/>
      <c r="L1692" s="835"/>
      <c r="M1692" s="835"/>
      <c r="N1692" s="835"/>
      <c r="O1692" s="835"/>
      <c r="P1692" s="835"/>
      <c r="Q1692" s="540"/>
      <c r="R1692" s="540"/>
      <c r="S1692" s="540"/>
      <c r="T1692" s="540"/>
      <c r="U1692" s="540"/>
      <c r="V1692" s="540"/>
      <c r="W1692" s="540"/>
      <c r="X1692" s="540"/>
      <c r="Y1692" s="540"/>
      <c r="Z1692" s="540"/>
    </row>
    <row r="1693" spans="1:26" ht="19">
      <c r="A1693" s="631"/>
      <c r="B1693" s="631"/>
      <c r="C1693" s="631"/>
      <c r="D1693" s="832"/>
      <c r="E1693" s="631"/>
      <c r="F1693" s="631"/>
      <c r="G1693" s="631"/>
      <c r="H1693" s="833"/>
      <c r="I1693" s="834"/>
      <c r="J1693" s="834"/>
      <c r="K1693" s="835"/>
      <c r="L1693" s="835"/>
      <c r="M1693" s="835"/>
      <c r="N1693" s="835"/>
      <c r="O1693" s="835"/>
      <c r="P1693" s="835"/>
      <c r="Q1693" s="540"/>
      <c r="R1693" s="540"/>
      <c r="S1693" s="540"/>
      <c r="T1693" s="540"/>
      <c r="U1693" s="540"/>
      <c r="V1693" s="540"/>
      <c r="W1693" s="540"/>
      <c r="X1693" s="540"/>
      <c r="Y1693" s="540"/>
      <c r="Z1693" s="540"/>
    </row>
    <row r="1694" spans="1:26" ht="19">
      <c r="A1694" s="631"/>
      <c r="B1694" s="631"/>
      <c r="C1694" s="631"/>
      <c r="D1694" s="832"/>
      <c r="E1694" s="631"/>
      <c r="F1694" s="631"/>
      <c r="G1694" s="631"/>
      <c r="H1694" s="833"/>
      <c r="I1694" s="834"/>
      <c r="J1694" s="834"/>
      <c r="K1694" s="835"/>
      <c r="L1694" s="835"/>
      <c r="M1694" s="835"/>
      <c r="N1694" s="835"/>
      <c r="O1694" s="835"/>
      <c r="P1694" s="835"/>
      <c r="Q1694" s="540"/>
      <c r="R1694" s="540"/>
      <c r="S1694" s="540"/>
      <c r="T1694" s="540"/>
      <c r="U1694" s="540"/>
      <c r="V1694" s="540"/>
      <c r="W1694" s="540"/>
      <c r="X1694" s="540"/>
      <c r="Y1694" s="540"/>
      <c r="Z1694" s="540"/>
    </row>
    <row r="1695" spans="1:26" ht="19">
      <c r="A1695" s="631"/>
      <c r="B1695" s="631"/>
      <c r="C1695" s="631"/>
      <c r="D1695" s="832"/>
      <c r="E1695" s="631"/>
      <c r="F1695" s="631"/>
      <c r="G1695" s="631"/>
      <c r="H1695" s="833"/>
      <c r="I1695" s="834"/>
      <c r="J1695" s="834"/>
      <c r="K1695" s="835"/>
      <c r="L1695" s="835"/>
      <c r="M1695" s="835"/>
      <c r="N1695" s="835"/>
      <c r="O1695" s="835"/>
      <c r="P1695" s="835"/>
      <c r="Q1695" s="540"/>
      <c r="R1695" s="540"/>
      <c r="S1695" s="540"/>
      <c r="T1695" s="540"/>
      <c r="U1695" s="540"/>
      <c r="V1695" s="540"/>
      <c r="W1695" s="540"/>
      <c r="X1695" s="540"/>
      <c r="Y1695" s="540"/>
      <c r="Z1695" s="540"/>
    </row>
    <row r="1696" spans="1:26" ht="19">
      <c r="A1696" s="631"/>
      <c r="B1696" s="631"/>
      <c r="C1696" s="631"/>
      <c r="D1696" s="832"/>
      <c r="E1696" s="631"/>
      <c r="F1696" s="631"/>
      <c r="G1696" s="631"/>
      <c r="H1696" s="833"/>
      <c r="I1696" s="834"/>
      <c r="J1696" s="834"/>
      <c r="K1696" s="835"/>
      <c r="L1696" s="835"/>
      <c r="M1696" s="835"/>
      <c r="N1696" s="835"/>
      <c r="O1696" s="835"/>
      <c r="P1696" s="835"/>
      <c r="Q1696" s="540"/>
      <c r="R1696" s="540"/>
      <c r="S1696" s="540"/>
      <c r="T1696" s="540"/>
      <c r="U1696" s="540"/>
      <c r="V1696" s="540"/>
      <c r="W1696" s="540"/>
      <c r="X1696" s="540"/>
      <c r="Y1696" s="540"/>
      <c r="Z1696" s="540"/>
    </row>
    <row r="1697" spans="1:26" ht="19">
      <c r="A1697" s="631"/>
      <c r="B1697" s="631"/>
      <c r="C1697" s="631"/>
      <c r="D1697" s="832"/>
      <c r="E1697" s="631"/>
      <c r="F1697" s="631"/>
      <c r="G1697" s="631"/>
      <c r="H1697" s="833"/>
      <c r="I1697" s="834"/>
      <c r="J1697" s="834"/>
      <c r="K1697" s="835"/>
      <c r="L1697" s="835"/>
      <c r="M1697" s="835"/>
      <c r="N1697" s="835"/>
      <c r="O1697" s="835"/>
      <c r="P1697" s="835"/>
      <c r="Q1697" s="540"/>
      <c r="R1697" s="540"/>
      <c r="S1697" s="540"/>
      <c r="T1697" s="540"/>
      <c r="U1697" s="540"/>
      <c r="V1697" s="540"/>
      <c r="W1697" s="540"/>
      <c r="X1697" s="540"/>
      <c r="Y1697" s="540"/>
      <c r="Z1697" s="540"/>
    </row>
    <row r="1698" spans="1:26" ht="19">
      <c r="A1698" s="631"/>
      <c r="B1698" s="631"/>
      <c r="C1698" s="631"/>
      <c r="D1698" s="832"/>
      <c r="E1698" s="631"/>
      <c r="F1698" s="631"/>
      <c r="G1698" s="631"/>
      <c r="H1698" s="833"/>
      <c r="I1698" s="834"/>
      <c r="J1698" s="834"/>
      <c r="K1698" s="835"/>
      <c r="L1698" s="835"/>
      <c r="M1698" s="835"/>
      <c r="N1698" s="835"/>
      <c r="O1698" s="835"/>
      <c r="P1698" s="835"/>
      <c r="Q1698" s="540"/>
      <c r="R1698" s="540"/>
      <c r="S1698" s="540"/>
      <c r="T1698" s="540"/>
      <c r="U1698" s="540"/>
      <c r="V1698" s="540"/>
      <c r="W1698" s="540"/>
      <c r="X1698" s="540"/>
      <c r="Y1698" s="540"/>
      <c r="Z1698" s="540"/>
    </row>
    <row r="1699" spans="1:26" ht="19">
      <c r="A1699" s="631"/>
      <c r="B1699" s="631"/>
      <c r="C1699" s="631"/>
      <c r="D1699" s="832"/>
      <c r="E1699" s="631"/>
      <c r="F1699" s="631"/>
      <c r="G1699" s="631"/>
      <c r="H1699" s="833"/>
      <c r="I1699" s="834"/>
      <c r="J1699" s="834"/>
      <c r="K1699" s="835"/>
      <c r="L1699" s="835"/>
      <c r="M1699" s="835"/>
      <c r="N1699" s="835"/>
      <c r="O1699" s="835"/>
      <c r="P1699" s="835"/>
      <c r="Q1699" s="540"/>
      <c r="R1699" s="540"/>
      <c r="S1699" s="540"/>
      <c r="T1699" s="540"/>
      <c r="U1699" s="540"/>
      <c r="V1699" s="540"/>
      <c r="W1699" s="540"/>
      <c r="X1699" s="540"/>
      <c r="Y1699" s="540"/>
      <c r="Z1699" s="540"/>
    </row>
    <row r="1700" spans="1:26" ht="19">
      <c r="A1700" s="631"/>
      <c r="B1700" s="631"/>
      <c r="C1700" s="631"/>
      <c r="D1700" s="832"/>
      <c r="E1700" s="631"/>
      <c r="F1700" s="631"/>
      <c r="G1700" s="631"/>
      <c r="H1700" s="833"/>
      <c r="I1700" s="834"/>
      <c r="J1700" s="834"/>
      <c r="K1700" s="835"/>
      <c r="L1700" s="835"/>
      <c r="M1700" s="835"/>
      <c r="N1700" s="835"/>
      <c r="O1700" s="835"/>
      <c r="P1700" s="835"/>
      <c r="Q1700" s="540"/>
      <c r="R1700" s="540"/>
      <c r="S1700" s="540"/>
      <c r="T1700" s="540"/>
      <c r="U1700" s="540"/>
      <c r="V1700" s="540"/>
      <c r="W1700" s="540"/>
      <c r="X1700" s="540"/>
      <c r="Y1700" s="540"/>
      <c r="Z1700" s="540"/>
    </row>
    <row r="1701" spans="1:26" ht="19">
      <c r="A1701" s="631"/>
      <c r="B1701" s="631"/>
      <c r="C1701" s="631"/>
      <c r="D1701" s="832"/>
      <c r="E1701" s="631"/>
      <c r="F1701" s="631"/>
      <c r="G1701" s="631"/>
      <c r="H1701" s="833"/>
      <c r="I1701" s="834"/>
      <c r="J1701" s="834"/>
      <c r="K1701" s="835"/>
      <c r="L1701" s="835"/>
      <c r="M1701" s="835"/>
      <c r="N1701" s="835"/>
      <c r="O1701" s="835"/>
      <c r="P1701" s="835"/>
      <c r="Q1701" s="540"/>
      <c r="R1701" s="540"/>
      <c r="S1701" s="540"/>
      <c r="T1701" s="540"/>
      <c r="U1701" s="540"/>
      <c r="V1701" s="540"/>
      <c r="W1701" s="540"/>
      <c r="X1701" s="540"/>
      <c r="Y1701" s="540"/>
      <c r="Z1701" s="540"/>
    </row>
    <row r="1702" spans="1:26" ht="19">
      <c r="A1702" s="631"/>
      <c r="B1702" s="631"/>
      <c r="C1702" s="631"/>
      <c r="D1702" s="832"/>
      <c r="E1702" s="631"/>
      <c r="F1702" s="631"/>
      <c r="G1702" s="631"/>
      <c r="H1702" s="833"/>
      <c r="I1702" s="834"/>
      <c r="J1702" s="834"/>
      <c r="K1702" s="835"/>
      <c r="L1702" s="835"/>
      <c r="M1702" s="835"/>
      <c r="N1702" s="835"/>
      <c r="O1702" s="835"/>
      <c r="P1702" s="835"/>
      <c r="Q1702" s="540"/>
      <c r="R1702" s="540"/>
      <c r="S1702" s="540"/>
      <c r="T1702" s="540"/>
      <c r="U1702" s="540"/>
      <c r="V1702" s="540"/>
      <c r="W1702" s="540"/>
      <c r="X1702" s="540"/>
      <c r="Y1702" s="540"/>
      <c r="Z1702" s="540"/>
    </row>
    <row r="1703" spans="1:26" ht="19">
      <c r="A1703" s="631"/>
      <c r="B1703" s="631"/>
      <c r="C1703" s="631"/>
      <c r="D1703" s="832"/>
      <c r="E1703" s="631"/>
      <c r="F1703" s="631"/>
      <c r="G1703" s="631"/>
      <c r="H1703" s="833"/>
      <c r="I1703" s="834"/>
      <c r="J1703" s="834"/>
      <c r="K1703" s="835"/>
      <c r="L1703" s="835"/>
      <c r="M1703" s="835"/>
      <c r="N1703" s="835"/>
      <c r="O1703" s="835"/>
      <c r="P1703" s="835"/>
      <c r="Q1703" s="540"/>
      <c r="R1703" s="540"/>
      <c r="S1703" s="540"/>
      <c r="T1703" s="540"/>
      <c r="U1703" s="540"/>
      <c r="V1703" s="540"/>
      <c r="W1703" s="540"/>
      <c r="X1703" s="540"/>
      <c r="Y1703" s="540"/>
      <c r="Z1703" s="540"/>
    </row>
    <row r="1704" spans="1:26" ht="19">
      <c r="A1704" s="631"/>
      <c r="B1704" s="631"/>
      <c r="C1704" s="631"/>
      <c r="D1704" s="832"/>
      <c r="E1704" s="631"/>
      <c r="F1704" s="631"/>
      <c r="G1704" s="631"/>
      <c r="H1704" s="833"/>
      <c r="I1704" s="834"/>
      <c r="J1704" s="834"/>
      <c r="K1704" s="835"/>
      <c r="L1704" s="835"/>
      <c r="M1704" s="835"/>
      <c r="N1704" s="835"/>
      <c r="O1704" s="835"/>
      <c r="P1704" s="835"/>
      <c r="Q1704" s="540"/>
      <c r="R1704" s="540"/>
      <c r="S1704" s="540"/>
      <c r="T1704" s="540"/>
      <c r="U1704" s="540"/>
      <c r="V1704" s="540"/>
      <c r="W1704" s="540"/>
      <c r="X1704" s="540"/>
      <c r="Y1704" s="540"/>
      <c r="Z1704" s="540"/>
    </row>
    <row r="1705" spans="1:26" ht="19">
      <c r="A1705" s="631"/>
      <c r="B1705" s="631"/>
      <c r="C1705" s="631"/>
      <c r="D1705" s="832"/>
      <c r="E1705" s="631"/>
      <c r="F1705" s="631"/>
      <c r="G1705" s="631"/>
      <c r="H1705" s="833"/>
      <c r="I1705" s="834"/>
      <c r="J1705" s="834"/>
      <c r="K1705" s="835"/>
      <c r="L1705" s="835"/>
      <c r="M1705" s="835"/>
      <c r="N1705" s="835"/>
      <c r="O1705" s="835"/>
      <c r="P1705" s="835"/>
      <c r="Q1705" s="540"/>
      <c r="R1705" s="540"/>
      <c r="S1705" s="540"/>
      <c r="T1705" s="540"/>
      <c r="U1705" s="540"/>
      <c r="V1705" s="540"/>
      <c r="W1705" s="540"/>
      <c r="X1705" s="540"/>
      <c r="Y1705" s="540"/>
      <c r="Z1705" s="540"/>
    </row>
    <row r="1706" spans="1:26" ht="19">
      <c r="A1706" s="631"/>
      <c r="B1706" s="631"/>
      <c r="C1706" s="631"/>
      <c r="D1706" s="832"/>
      <c r="E1706" s="631"/>
      <c r="F1706" s="631"/>
      <c r="G1706" s="631"/>
      <c r="H1706" s="833"/>
      <c r="I1706" s="834"/>
      <c r="J1706" s="834"/>
      <c r="K1706" s="835"/>
      <c r="L1706" s="835"/>
      <c r="M1706" s="835"/>
      <c r="N1706" s="835"/>
      <c r="O1706" s="835"/>
      <c r="P1706" s="835"/>
      <c r="Q1706" s="540"/>
      <c r="R1706" s="540"/>
      <c r="S1706" s="540"/>
      <c r="T1706" s="540"/>
      <c r="U1706" s="540"/>
      <c r="V1706" s="540"/>
      <c r="W1706" s="540"/>
      <c r="X1706" s="540"/>
      <c r="Y1706" s="540"/>
      <c r="Z1706" s="540"/>
    </row>
    <row r="1707" spans="1:26" ht="19">
      <c r="A1707" s="631"/>
      <c r="B1707" s="631"/>
      <c r="C1707" s="631"/>
      <c r="D1707" s="832"/>
      <c r="E1707" s="631"/>
      <c r="F1707" s="631"/>
      <c r="G1707" s="631"/>
      <c r="H1707" s="833"/>
      <c r="I1707" s="834"/>
      <c r="J1707" s="834"/>
      <c r="K1707" s="835"/>
      <c r="L1707" s="835"/>
      <c r="M1707" s="835"/>
      <c r="N1707" s="835"/>
      <c r="O1707" s="835"/>
      <c r="P1707" s="835"/>
      <c r="Q1707" s="540"/>
      <c r="R1707" s="540"/>
      <c r="S1707" s="540"/>
      <c r="T1707" s="540"/>
      <c r="U1707" s="540"/>
      <c r="V1707" s="540"/>
      <c r="W1707" s="540"/>
      <c r="X1707" s="540"/>
      <c r="Y1707" s="540"/>
      <c r="Z1707" s="540"/>
    </row>
    <row r="1708" spans="1:26" ht="19">
      <c r="A1708" s="631"/>
      <c r="B1708" s="631"/>
      <c r="C1708" s="631"/>
      <c r="D1708" s="832"/>
      <c r="E1708" s="631"/>
      <c r="F1708" s="631"/>
      <c r="G1708" s="631"/>
      <c r="H1708" s="833"/>
      <c r="I1708" s="834"/>
      <c r="J1708" s="834"/>
      <c r="K1708" s="835"/>
      <c r="L1708" s="835"/>
      <c r="M1708" s="835"/>
      <c r="N1708" s="835"/>
      <c r="O1708" s="835"/>
      <c r="P1708" s="835"/>
      <c r="Q1708" s="540"/>
      <c r="R1708" s="540"/>
      <c r="S1708" s="540"/>
      <c r="T1708" s="540"/>
      <c r="U1708" s="540"/>
      <c r="V1708" s="540"/>
      <c r="W1708" s="540"/>
      <c r="X1708" s="540"/>
      <c r="Y1708" s="540"/>
      <c r="Z1708" s="540"/>
    </row>
    <row r="1709" spans="1:26" ht="19">
      <c r="A1709" s="631"/>
      <c r="B1709" s="631"/>
      <c r="C1709" s="631"/>
      <c r="D1709" s="832"/>
      <c r="E1709" s="631"/>
      <c r="F1709" s="631"/>
      <c r="G1709" s="631"/>
      <c r="H1709" s="833"/>
      <c r="I1709" s="834"/>
      <c r="J1709" s="834"/>
      <c r="K1709" s="835"/>
      <c r="L1709" s="835"/>
      <c r="M1709" s="835"/>
      <c r="N1709" s="835"/>
      <c r="O1709" s="835"/>
      <c r="P1709" s="835"/>
      <c r="Q1709" s="540"/>
      <c r="R1709" s="540"/>
      <c r="S1709" s="540"/>
      <c r="T1709" s="540"/>
      <c r="U1709" s="540"/>
      <c r="V1709" s="540"/>
      <c r="W1709" s="540"/>
      <c r="X1709" s="540"/>
      <c r="Y1709" s="540"/>
      <c r="Z1709" s="540"/>
    </row>
    <row r="1710" spans="1:26" ht="19">
      <c r="A1710" s="631"/>
      <c r="B1710" s="631"/>
      <c r="C1710" s="631"/>
      <c r="D1710" s="832"/>
      <c r="E1710" s="631"/>
      <c r="F1710" s="631"/>
      <c r="G1710" s="631"/>
      <c r="H1710" s="833"/>
      <c r="I1710" s="834"/>
      <c r="J1710" s="834"/>
      <c r="K1710" s="835"/>
      <c r="L1710" s="835"/>
      <c r="M1710" s="835"/>
      <c r="N1710" s="835"/>
      <c r="O1710" s="835"/>
      <c r="P1710" s="835"/>
      <c r="Q1710" s="540"/>
      <c r="R1710" s="540"/>
      <c r="S1710" s="540"/>
      <c r="T1710" s="540"/>
      <c r="U1710" s="540"/>
      <c r="V1710" s="540"/>
      <c r="W1710" s="540"/>
      <c r="X1710" s="540"/>
      <c r="Y1710" s="540"/>
      <c r="Z1710" s="540"/>
    </row>
    <row r="1711" spans="1:26" ht="19">
      <c r="A1711" s="631"/>
      <c r="B1711" s="631"/>
      <c r="C1711" s="631"/>
      <c r="D1711" s="832"/>
      <c r="E1711" s="631"/>
      <c r="F1711" s="631"/>
      <c r="G1711" s="631"/>
      <c r="H1711" s="833"/>
      <c r="I1711" s="834"/>
      <c r="J1711" s="834"/>
      <c r="K1711" s="835"/>
      <c r="L1711" s="835"/>
      <c r="M1711" s="835"/>
      <c r="N1711" s="835"/>
      <c r="O1711" s="835"/>
      <c r="P1711" s="835"/>
      <c r="Q1711" s="540"/>
      <c r="R1711" s="540"/>
      <c r="S1711" s="540"/>
      <c r="T1711" s="540"/>
      <c r="U1711" s="540"/>
      <c r="V1711" s="540"/>
      <c r="W1711" s="540"/>
      <c r="X1711" s="540"/>
      <c r="Y1711" s="540"/>
      <c r="Z1711" s="540"/>
    </row>
    <row r="1712" spans="1:26" ht="19">
      <c r="A1712" s="631"/>
      <c r="B1712" s="631"/>
      <c r="C1712" s="631"/>
      <c r="D1712" s="832"/>
      <c r="E1712" s="631"/>
      <c r="F1712" s="631"/>
      <c r="G1712" s="631"/>
      <c r="H1712" s="833"/>
      <c r="I1712" s="834"/>
      <c r="J1712" s="834"/>
      <c r="K1712" s="835"/>
      <c r="L1712" s="835"/>
      <c r="M1712" s="835"/>
      <c r="N1712" s="835"/>
      <c r="O1712" s="835"/>
      <c r="P1712" s="835"/>
      <c r="Q1712" s="540"/>
      <c r="R1712" s="540"/>
      <c r="S1712" s="540"/>
      <c r="T1712" s="540"/>
      <c r="U1712" s="540"/>
      <c r="V1712" s="540"/>
      <c r="W1712" s="540"/>
      <c r="X1712" s="540"/>
      <c r="Y1712" s="540"/>
      <c r="Z1712" s="540"/>
    </row>
    <row r="1713" spans="1:26" ht="19">
      <c r="A1713" s="631"/>
      <c r="B1713" s="631"/>
      <c r="C1713" s="631"/>
      <c r="D1713" s="832"/>
      <c r="E1713" s="631"/>
      <c r="F1713" s="631"/>
      <c r="G1713" s="631"/>
      <c r="H1713" s="833"/>
      <c r="I1713" s="834"/>
      <c r="J1713" s="834"/>
      <c r="K1713" s="835"/>
      <c r="L1713" s="835"/>
      <c r="M1713" s="835"/>
      <c r="N1713" s="835"/>
      <c r="O1713" s="835"/>
      <c r="P1713" s="835"/>
      <c r="Q1713" s="540"/>
      <c r="R1713" s="540"/>
      <c r="S1713" s="540"/>
      <c r="T1713" s="540"/>
      <c r="U1713" s="540"/>
      <c r="V1713" s="540"/>
      <c r="W1713" s="540"/>
      <c r="X1713" s="540"/>
      <c r="Y1713" s="540"/>
      <c r="Z1713" s="540"/>
    </row>
    <row r="1714" spans="1:26" ht="19">
      <c r="A1714" s="631"/>
      <c r="B1714" s="631"/>
      <c r="C1714" s="631"/>
      <c r="D1714" s="832"/>
      <c r="E1714" s="631"/>
      <c r="F1714" s="631"/>
      <c r="G1714" s="631"/>
      <c r="H1714" s="833"/>
      <c r="I1714" s="834"/>
      <c r="J1714" s="834"/>
      <c r="K1714" s="835"/>
      <c r="L1714" s="835"/>
      <c r="M1714" s="835"/>
      <c r="N1714" s="835"/>
      <c r="O1714" s="835"/>
      <c r="P1714" s="835"/>
      <c r="Q1714" s="540"/>
      <c r="R1714" s="540"/>
      <c r="S1714" s="540"/>
      <c r="T1714" s="540"/>
      <c r="U1714" s="540"/>
      <c r="V1714" s="540"/>
      <c r="W1714" s="540"/>
      <c r="X1714" s="540"/>
      <c r="Y1714" s="540"/>
      <c r="Z1714" s="540"/>
    </row>
    <row r="1715" spans="1:26" ht="19">
      <c r="A1715" s="631"/>
      <c r="B1715" s="631"/>
      <c r="C1715" s="631"/>
      <c r="D1715" s="832"/>
      <c r="E1715" s="631"/>
      <c r="F1715" s="631"/>
      <c r="G1715" s="631"/>
      <c r="H1715" s="833"/>
      <c r="I1715" s="834"/>
      <c r="J1715" s="834"/>
      <c r="K1715" s="835"/>
      <c r="L1715" s="835"/>
      <c r="M1715" s="835"/>
      <c r="N1715" s="835"/>
      <c r="O1715" s="835"/>
      <c r="P1715" s="835"/>
      <c r="Q1715" s="540"/>
      <c r="R1715" s="540"/>
      <c r="S1715" s="540"/>
      <c r="T1715" s="540"/>
      <c r="U1715" s="540"/>
      <c r="V1715" s="540"/>
      <c r="W1715" s="540"/>
      <c r="X1715" s="540"/>
      <c r="Y1715" s="540"/>
      <c r="Z1715" s="540"/>
    </row>
    <row r="1716" spans="1:26" ht="19">
      <c r="A1716" s="631"/>
      <c r="B1716" s="631"/>
      <c r="C1716" s="631"/>
      <c r="D1716" s="832"/>
      <c r="E1716" s="631"/>
      <c r="F1716" s="631"/>
      <c r="G1716" s="631"/>
      <c r="H1716" s="833"/>
      <c r="I1716" s="834"/>
      <c r="J1716" s="834"/>
      <c r="K1716" s="835"/>
      <c r="L1716" s="835"/>
      <c r="M1716" s="835"/>
      <c r="N1716" s="835"/>
      <c r="O1716" s="835"/>
      <c r="P1716" s="835"/>
      <c r="Q1716" s="540"/>
      <c r="R1716" s="540"/>
      <c r="S1716" s="540"/>
      <c r="T1716" s="540"/>
      <c r="U1716" s="540"/>
      <c r="V1716" s="540"/>
      <c r="W1716" s="540"/>
      <c r="X1716" s="540"/>
      <c r="Y1716" s="540"/>
      <c r="Z1716" s="540"/>
    </row>
    <row r="1717" spans="1:26" ht="19">
      <c r="A1717" s="631"/>
      <c r="B1717" s="631"/>
      <c r="C1717" s="631"/>
      <c r="D1717" s="832"/>
      <c r="E1717" s="631"/>
      <c r="F1717" s="631"/>
      <c r="G1717" s="631"/>
      <c r="H1717" s="833"/>
      <c r="I1717" s="834"/>
      <c r="J1717" s="834"/>
      <c r="K1717" s="835"/>
      <c r="L1717" s="835"/>
      <c r="M1717" s="835"/>
      <c r="N1717" s="835"/>
      <c r="O1717" s="835"/>
      <c r="P1717" s="835"/>
      <c r="Q1717" s="540"/>
      <c r="R1717" s="540"/>
      <c r="S1717" s="540"/>
      <c r="T1717" s="540"/>
      <c r="U1717" s="540"/>
      <c r="V1717" s="540"/>
      <c r="W1717" s="540"/>
      <c r="X1717" s="540"/>
      <c r="Y1717" s="540"/>
      <c r="Z1717" s="540"/>
    </row>
    <row r="1718" spans="1:26" ht="19">
      <c r="A1718" s="631"/>
      <c r="B1718" s="631"/>
      <c r="C1718" s="631"/>
      <c r="D1718" s="832"/>
      <c r="E1718" s="631"/>
      <c r="F1718" s="631"/>
      <c r="G1718" s="631"/>
      <c r="H1718" s="833"/>
      <c r="I1718" s="834"/>
      <c r="J1718" s="834"/>
      <c r="K1718" s="835"/>
      <c r="L1718" s="835"/>
      <c r="M1718" s="835"/>
      <c r="N1718" s="835"/>
      <c r="O1718" s="835"/>
      <c r="P1718" s="835"/>
      <c r="Q1718" s="540"/>
      <c r="R1718" s="540"/>
      <c r="S1718" s="540"/>
      <c r="T1718" s="540"/>
      <c r="U1718" s="540"/>
      <c r="V1718" s="540"/>
      <c r="W1718" s="540"/>
      <c r="X1718" s="540"/>
      <c r="Y1718" s="540"/>
      <c r="Z1718" s="540"/>
    </row>
    <row r="1719" spans="1:26" ht="19">
      <c r="A1719" s="631"/>
      <c r="B1719" s="631"/>
      <c r="C1719" s="631"/>
      <c r="D1719" s="832"/>
      <c r="E1719" s="631"/>
      <c r="F1719" s="631"/>
      <c r="G1719" s="631"/>
      <c r="H1719" s="833"/>
      <c r="I1719" s="834"/>
      <c r="J1719" s="834"/>
      <c r="K1719" s="835"/>
      <c r="L1719" s="835"/>
      <c r="M1719" s="835"/>
      <c r="N1719" s="835"/>
      <c r="O1719" s="835"/>
      <c r="P1719" s="835"/>
      <c r="Q1719" s="540"/>
      <c r="R1719" s="540"/>
      <c r="S1719" s="540"/>
      <c r="T1719" s="540"/>
      <c r="U1719" s="540"/>
      <c r="V1719" s="540"/>
      <c r="W1719" s="540"/>
      <c r="X1719" s="540"/>
      <c r="Y1719" s="540"/>
      <c r="Z1719" s="540"/>
    </row>
    <row r="1720" spans="1:26" ht="19">
      <c r="A1720" s="631"/>
      <c r="B1720" s="631"/>
      <c r="C1720" s="631"/>
      <c r="D1720" s="832"/>
      <c r="E1720" s="631"/>
      <c r="F1720" s="631"/>
      <c r="G1720" s="631"/>
      <c r="H1720" s="833"/>
      <c r="I1720" s="834"/>
      <c r="J1720" s="834"/>
      <c r="K1720" s="835"/>
      <c r="L1720" s="835"/>
      <c r="M1720" s="835"/>
      <c r="N1720" s="835"/>
      <c r="O1720" s="835"/>
      <c r="P1720" s="835"/>
      <c r="Q1720" s="540"/>
      <c r="R1720" s="540"/>
      <c r="S1720" s="540"/>
      <c r="T1720" s="540"/>
      <c r="U1720" s="540"/>
      <c r="V1720" s="540"/>
      <c r="W1720" s="540"/>
      <c r="X1720" s="540"/>
      <c r="Y1720" s="540"/>
      <c r="Z1720" s="540"/>
    </row>
    <row r="1721" spans="1:26" ht="19">
      <c r="A1721" s="631"/>
      <c r="B1721" s="631"/>
      <c r="C1721" s="631"/>
      <c r="D1721" s="832"/>
      <c r="E1721" s="631"/>
      <c r="F1721" s="631"/>
      <c r="G1721" s="631"/>
      <c r="H1721" s="833"/>
      <c r="I1721" s="834"/>
      <c r="J1721" s="834"/>
      <c r="K1721" s="835"/>
      <c r="L1721" s="835"/>
      <c r="M1721" s="835"/>
      <c r="N1721" s="835"/>
      <c r="O1721" s="835"/>
      <c r="P1721" s="835"/>
      <c r="Q1721" s="540"/>
      <c r="R1721" s="540"/>
      <c r="S1721" s="540"/>
      <c r="T1721" s="540"/>
      <c r="U1721" s="540"/>
      <c r="V1721" s="540"/>
      <c r="W1721" s="540"/>
      <c r="X1721" s="540"/>
      <c r="Y1721" s="540"/>
      <c r="Z1721" s="540"/>
    </row>
    <row r="1722" spans="1:26" ht="19">
      <c r="A1722" s="631"/>
      <c r="B1722" s="631"/>
      <c r="C1722" s="631"/>
      <c r="D1722" s="832"/>
      <c r="E1722" s="631"/>
      <c r="F1722" s="631"/>
      <c r="G1722" s="631"/>
      <c r="H1722" s="833"/>
      <c r="I1722" s="834"/>
      <c r="J1722" s="834"/>
      <c r="K1722" s="835"/>
      <c r="L1722" s="835"/>
      <c r="M1722" s="835"/>
      <c r="N1722" s="835"/>
      <c r="O1722" s="835"/>
      <c r="P1722" s="835"/>
      <c r="Q1722" s="540"/>
      <c r="R1722" s="540"/>
      <c r="S1722" s="540"/>
      <c r="T1722" s="540"/>
      <c r="U1722" s="540"/>
      <c r="V1722" s="540"/>
      <c r="W1722" s="540"/>
      <c r="X1722" s="540"/>
      <c r="Y1722" s="540"/>
      <c r="Z1722" s="540"/>
    </row>
    <row r="1723" spans="1:26" ht="19">
      <c r="A1723" s="631"/>
      <c r="B1723" s="631"/>
      <c r="C1723" s="631"/>
      <c r="D1723" s="832"/>
      <c r="E1723" s="631"/>
      <c r="F1723" s="631"/>
      <c r="G1723" s="631"/>
      <c r="H1723" s="833"/>
      <c r="I1723" s="834"/>
      <c r="J1723" s="834"/>
      <c r="K1723" s="835"/>
      <c r="L1723" s="835"/>
      <c r="M1723" s="835"/>
      <c r="N1723" s="835"/>
      <c r="O1723" s="835"/>
      <c r="P1723" s="835"/>
      <c r="Q1723" s="540"/>
      <c r="R1723" s="540"/>
      <c r="S1723" s="540"/>
      <c r="T1723" s="540"/>
      <c r="U1723" s="540"/>
      <c r="V1723" s="540"/>
      <c r="W1723" s="540"/>
      <c r="X1723" s="540"/>
      <c r="Y1723" s="540"/>
      <c r="Z1723" s="540"/>
    </row>
    <row r="1724" spans="1:26" ht="19">
      <c r="A1724" s="631"/>
      <c r="B1724" s="631"/>
      <c r="C1724" s="631"/>
      <c r="D1724" s="832"/>
      <c r="E1724" s="631"/>
      <c r="F1724" s="631"/>
      <c r="G1724" s="631"/>
      <c r="H1724" s="833"/>
      <c r="I1724" s="834"/>
      <c r="J1724" s="834"/>
      <c r="K1724" s="835"/>
      <c r="L1724" s="835"/>
      <c r="M1724" s="835"/>
      <c r="N1724" s="835"/>
      <c r="O1724" s="835"/>
      <c r="P1724" s="835"/>
      <c r="Q1724" s="540"/>
      <c r="R1724" s="540"/>
      <c r="S1724" s="540"/>
      <c r="T1724" s="540"/>
      <c r="U1724" s="540"/>
      <c r="V1724" s="540"/>
      <c r="W1724" s="540"/>
      <c r="X1724" s="540"/>
      <c r="Y1724" s="540"/>
      <c r="Z1724" s="540"/>
    </row>
    <row r="1725" spans="1:26" ht="19">
      <c r="A1725" s="631"/>
      <c r="B1725" s="631"/>
      <c r="C1725" s="631"/>
      <c r="D1725" s="832"/>
      <c r="E1725" s="631"/>
      <c r="F1725" s="631"/>
      <c r="G1725" s="631"/>
      <c r="H1725" s="833"/>
      <c r="I1725" s="834"/>
      <c r="J1725" s="834"/>
      <c r="K1725" s="835"/>
      <c r="L1725" s="835"/>
      <c r="M1725" s="835"/>
      <c r="N1725" s="835"/>
      <c r="O1725" s="835"/>
      <c r="P1725" s="835"/>
      <c r="Q1725" s="540"/>
      <c r="R1725" s="540"/>
      <c r="S1725" s="540"/>
      <c r="T1725" s="540"/>
      <c r="U1725" s="540"/>
      <c r="V1725" s="540"/>
      <c r="W1725" s="540"/>
      <c r="X1725" s="540"/>
      <c r="Y1725" s="540"/>
      <c r="Z1725" s="540"/>
    </row>
    <row r="1726" spans="1:26" ht="19">
      <c r="A1726" s="631"/>
      <c r="B1726" s="631"/>
      <c r="C1726" s="631"/>
      <c r="D1726" s="832"/>
      <c r="E1726" s="631"/>
      <c r="F1726" s="631"/>
      <c r="G1726" s="631"/>
      <c r="H1726" s="833"/>
      <c r="I1726" s="834"/>
      <c r="J1726" s="834"/>
      <c r="K1726" s="835"/>
      <c r="L1726" s="835"/>
      <c r="M1726" s="835"/>
      <c r="N1726" s="835"/>
      <c r="O1726" s="835"/>
      <c r="P1726" s="835"/>
      <c r="Q1726" s="540"/>
      <c r="R1726" s="540"/>
      <c r="S1726" s="540"/>
      <c r="T1726" s="540"/>
      <c r="U1726" s="540"/>
      <c r="V1726" s="540"/>
      <c r="W1726" s="540"/>
      <c r="X1726" s="540"/>
      <c r="Y1726" s="540"/>
      <c r="Z1726" s="540"/>
    </row>
    <row r="1727" spans="1:26" ht="19">
      <c r="A1727" s="631"/>
      <c r="B1727" s="631"/>
      <c r="C1727" s="631"/>
      <c r="D1727" s="832"/>
      <c r="E1727" s="631"/>
      <c r="F1727" s="631"/>
      <c r="G1727" s="631"/>
      <c r="H1727" s="833"/>
      <c r="I1727" s="834"/>
      <c r="J1727" s="834"/>
      <c r="K1727" s="835"/>
      <c r="L1727" s="835"/>
      <c r="M1727" s="835"/>
      <c r="N1727" s="835"/>
      <c r="O1727" s="835"/>
      <c r="P1727" s="835"/>
      <c r="Q1727" s="540"/>
      <c r="R1727" s="540"/>
      <c r="S1727" s="540"/>
      <c r="T1727" s="540"/>
      <c r="U1727" s="540"/>
      <c r="V1727" s="540"/>
      <c r="W1727" s="540"/>
      <c r="X1727" s="540"/>
      <c r="Y1727" s="540"/>
      <c r="Z1727" s="540"/>
    </row>
    <row r="1728" spans="1:26" ht="19">
      <c r="A1728" s="631"/>
      <c r="B1728" s="631"/>
      <c r="C1728" s="631"/>
      <c r="D1728" s="832"/>
      <c r="E1728" s="631"/>
      <c r="F1728" s="631"/>
      <c r="G1728" s="631"/>
      <c r="H1728" s="833"/>
      <c r="I1728" s="834"/>
      <c r="J1728" s="834"/>
      <c r="K1728" s="835"/>
      <c r="L1728" s="835"/>
      <c r="M1728" s="835"/>
      <c r="N1728" s="835"/>
      <c r="O1728" s="835"/>
      <c r="P1728" s="835"/>
      <c r="Q1728" s="540"/>
      <c r="R1728" s="540"/>
      <c r="S1728" s="540"/>
      <c r="T1728" s="540"/>
      <c r="U1728" s="540"/>
      <c r="V1728" s="540"/>
      <c r="W1728" s="540"/>
      <c r="X1728" s="540"/>
      <c r="Y1728" s="540"/>
      <c r="Z1728" s="540"/>
    </row>
    <row r="1729" spans="1:26" ht="19">
      <c r="A1729" s="631"/>
      <c r="B1729" s="631"/>
      <c r="C1729" s="631"/>
      <c r="D1729" s="832"/>
      <c r="E1729" s="631"/>
      <c r="F1729" s="631"/>
      <c r="G1729" s="631"/>
      <c r="H1729" s="833"/>
      <c r="I1729" s="834"/>
      <c r="J1729" s="834"/>
      <c r="K1729" s="835"/>
      <c r="L1729" s="835"/>
      <c r="M1729" s="835"/>
      <c r="N1729" s="835"/>
      <c r="O1729" s="835"/>
      <c r="P1729" s="835"/>
      <c r="Q1729" s="540"/>
      <c r="R1729" s="540"/>
      <c r="S1729" s="540"/>
      <c r="T1729" s="540"/>
      <c r="U1729" s="540"/>
      <c r="V1729" s="540"/>
      <c r="W1729" s="540"/>
      <c r="X1729" s="540"/>
      <c r="Y1729" s="540"/>
      <c r="Z1729" s="540"/>
    </row>
    <row r="1730" spans="1:26" ht="19">
      <c r="A1730" s="631"/>
      <c r="B1730" s="631"/>
      <c r="C1730" s="631"/>
      <c r="D1730" s="832"/>
      <c r="E1730" s="631"/>
      <c r="F1730" s="631"/>
      <c r="G1730" s="631"/>
      <c r="H1730" s="833"/>
      <c r="I1730" s="834"/>
      <c r="J1730" s="834"/>
      <c r="K1730" s="835"/>
      <c r="L1730" s="835"/>
      <c r="M1730" s="835"/>
      <c r="N1730" s="835"/>
      <c r="O1730" s="835"/>
      <c r="P1730" s="835"/>
      <c r="Q1730" s="540"/>
      <c r="R1730" s="540"/>
      <c r="S1730" s="540"/>
      <c r="T1730" s="540"/>
      <c r="U1730" s="540"/>
      <c r="V1730" s="540"/>
      <c r="W1730" s="540"/>
      <c r="X1730" s="540"/>
      <c r="Y1730" s="540"/>
      <c r="Z1730" s="540"/>
    </row>
    <row r="1731" spans="1:26" ht="19">
      <c r="A1731" s="631"/>
      <c r="B1731" s="631"/>
      <c r="C1731" s="631"/>
      <c r="D1731" s="832"/>
      <c r="E1731" s="631"/>
      <c r="F1731" s="631"/>
      <c r="G1731" s="631"/>
      <c r="H1731" s="833"/>
      <c r="I1731" s="834"/>
      <c r="J1731" s="834"/>
      <c r="K1731" s="835"/>
      <c r="L1731" s="835"/>
      <c r="M1731" s="835"/>
      <c r="N1731" s="835"/>
      <c r="O1731" s="835"/>
      <c r="P1731" s="835"/>
      <c r="Q1731" s="540"/>
      <c r="R1731" s="540"/>
      <c r="S1731" s="540"/>
      <c r="T1731" s="540"/>
      <c r="U1731" s="540"/>
      <c r="V1731" s="540"/>
      <c r="W1731" s="540"/>
      <c r="X1731" s="540"/>
      <c r="Y1731" s="540"/>
      <c r="Z1731" s="540"/>
    </row>
    <row r="1732" spans="1:26" ht="19">
      <c r="A1732" s="631"/>
      <c r="B1732" s="631"/>
      <c r="C1732" s="631"/>
      <c r="D1732" s="832"/>
      <c r="E1732" s="631"/>
      <c r="F1732" s="631"/>
      <c r="G1732" s="631"/>
      <c r="H1732" s="833"/>
      <c r="I1732" s="834"/>
      <c r="J1732" s="834"/>
      <c r="K1732" s="835"/>
      <c r="L1732" s="835"/>
      <c r="M1732" s="835"/>
      <c r="N1732" s="835"/>
      <c r="O1732" s="835"/>
      <c r="P1732" s="835"/>
      <c r="Q1732" s="540"/>
      <c r="R1732" s="540"/>
      <c r="S1732" s="540"/>
      <c r="T1732" s="540"/>
      <c r="U1732" s="540"/>
      <c r="V1732" s="540"/>
      <c r="W1732" s="540"/>
      <c r="X1732" s="540"/>
      <c r="Y1732" s="540"/>
      <c r="Z1732" s="540"/>
    </row>
    <row r="1733" spans="1:26" ht="19">
      <c r="A1733" s="631"/>
      <c r="B1733" s="631"/>
      <c r="C1733" s="631"/>
      <c r="D1733" s="832"/>
      <c r="E1733" s="631"/>
      <c r="F1733" s="631"/>
      <c r="G1733" s="631"/>
      <c r="H1733" s="833"/>
      <c r="I1733" s="834"/>
      <c r="J1733" s="834"/>
      <c r="K1733" s="835"/>
      <c r="L1733" s="835"/>
      <c r="M1733" s="835"/>
      <c r="N1733" s="835"/>
      <c r="O1733" s="835"/>
      <c r="P1733" s="835"/>
      <c r="Q1733" s="540"/>
      <c r="R1733" s="540"/>
      <c r="S1733" s="540"/>
      <c r="T1733" s="540"/>
      <c r="U1733" s="540"/>
      <c r="V1733" s="540"/>
      <c r="W1733" s="540"/>
      <c r="X1733" s="540"/>
      <c r="Y1733" s="540"/>
      <c r="Z1733" s="540"/>
    </row>
    <row r="1734" spans="1:26" ht="19">
      <c r="A1734" s="631"/>
      <c r="B1734" s="631"/>
      <c r="C1734" s="631"/>
      <c r="D1734" s="832"/>
      <c r="E1734" s="631"/>
      <c r="F1734" s="631"/>
      <c r="G1734" s="631"/>
      <c r="H1734" s="833"/>
      <c r="I1734" s="834"/>
      <c r="J1734" s="834"/>
      <c r="K1734" s="835"/>
      <c r="L1734" s="835"/>
      <c r="M1734" s="835"/>
      <c r="N1734" s="835"/>
      <c r="O1734" s="835"/>
      <c r="P1734" s="835"/>
      <c r="Q1734" s="540"/>
      <c r="R1734" s="540"/>
      <c r="S1734" s="540"/>
      <c r="T1734" s="540"/>
      <c r="U1734" s="540"/>
      <c r="V1734" s="540"/>
      <c r="W1734" s="540"/>
      <c r="X1734" s="540"/>
      <c r="Y1734" s="540"/>
      <c r="Z1734" s="540"/>
    </row>
    <row r="1735" spans="1:26" ht="19">
      <c r="A1735" s="631"/>
      <c r="B1735" s="631"/>
      <c r="C1735" s="631"/>
      <c r="D1735" s="832"/>
      <c r="E1735" s="631"/>
      <c r="F1735" s="631"/>
      <c r="G1735" s="631"/>
      <c r="H1735" s="833"/>
      <c r="I1735" s="834"/>
      <c r="J1735" s="834"/>
      <c r="K1735" s="835"/>
      <c r="L1735" s="835"/>
      <c r="M1735" s="835"/>
      <c r="N1735" s="835"/>
      <c r="O1735" s="835"/>
      <c r="P1735" s="835"/>
      <c r="Q1735" s="540"/>
      <c r="R1735" s="540"/>
      <c r="S1735" s="540"/>
      <c r="T1735" s="540"/>
      <c r="U1735" s="540"/>
      <c r="V1735" s="540"/>
      <c r="W1735" s="540"/>
      <c r="X1735" s="540"/>
      <c r="Y1735" s="540"/>
      <c r="Z1735" s="540"/>
    </row>
    <row r="1736" spans="1:26" ht="19">
      <c r="A1736" s="631"/>
      <c r="B1736" s="631"/>
      <c r="C1736" s="631"/>
      <c r="D1736" s="832"/>
      <c r="E1736" s="631"/>
      <c r="F1736" s="631"/>
      <c r="G1736" s="631"/>
      <c r="H1736" s="833"/>
      <c r="I1736" s="834"/>
      <c r="J1736" s="834"/>
      <c r="K1736" s="835"/>
      <c r="L1736" s="835"/>
      <c r="M1736" s="835"/>
      <c r="N1736" s="835"/>
      <c r="O1736" s="835"/>
      <c r="P1736" s="835"/>
      <c r="Q1736" s="540"/>
      <c r="R1736" s="540"/>
      <c r="S1736" s="540"/>
      <c r="T1736" s="540"/>
      <c r="U1736" s="540"/>
      <c r="V1736" s="540"/>
      <c r="W1736" s="540"/>
      <c r="X1736" s="540"/>
      <c r="Y1736" s="540"/>
      <c r="Z1736" s="540"/>
    </row>
    <row r="1737" spans="1:26" ht="19">
      <c r="A1737" s="631"/>
      <c r="B1737" s="631"/>
      <c r="C1737" s="631"/>
      <c r="D1737" s="832"/>
      <c r="E1737" s="631"/>
      <c r="F1737" s="631"/>
      <c r="G1737" s="631"/>
      <c r="H1737" s="833"/>
      <c r="I1737" s="834"/>
      <c r="J1737" s="834"/>
      <c r="K1737" s="835"/>
      <c r="L1737" s="835"/>
      <c r="M1737" s="835"/>
      <c r="N1737" s="835"/>
      <c r="O1737" s="835"/>
      <c r="P1737" s="835"/>
      <c r="Q1737" s="540"/>
      <c r="R1737" s="540"/>
      <c r="S1737" s="540"/>
      <c r="T1737" s="540"/>
      <c r="U1737" s="540"/>
      <c r="V1737" s="540"/>
      <c r="W1737" s="540"/>
      <c r="X1737" s="540"/>
      <c r="Y1737" s="540"/>
      <c r="Z1737" s="540"/>
    </row>
    <row r="1738" spans="1:26" ht="19">
      <c r="A1738" s="631"/>
      <c r="B1738" s="631"/>
      <c r="C1738" s="631"/>
      <c r="D1738" s="832"/>
      <c r="E1738" s="631"/>
      <c r="F1738" s="631"/>
      <c r="G1738" s="631"/>
      <c r="H1738" s="833"/>
      <c r="I1738" s="834"/>
      <c r="J1738" s="834"/>
      <c r="K1738" s="835"/>
      <c r="L1738" s="835"/>
      <c r="M1738" s="835"/>
      <c r="N1738" s="835"/>
      <c r="O1738" s="835"/>
      <c r="P1738" s="835"/>
      <c r="Q1738" s="540"/>
      <c r="R1738" s="540"/>
      <c r="S1738" s="540"/>
      <c r="T1738" s="540"/>
      <c r="U1738" s="540"/>
      <c r="V1738" s="540"/>
      <c r="W1738" s="540"/>
      <c r="X1738" s="540"/>
      <c r="Y1738" s="540"/>
      <c r="Z1738" s="540"/>
    </row>
    <row r="1739" spans="1:26" ht="19">
      <c r="A1739" s="631"/>
      <c r="B1739" s="631"/>
      <c r="C1739" s="631"/>
      <c r="D1739" s="832"/>
      <c r="E1739" s="631"/>
      <c r="F1739" s="631"/>
      <c r="G1739" s="631"/>
      <c r="H1739" s="833"/>
      <c r="I1739" s="834"/>
      <c r="J1739" s="834"/>
      <c r="K1739" s="835"/>
      <c r="L1739" s="835"/>
      <c r="M1739" s="835"/>
      <c r="N1739" s="835"/>
      <c r="O1739" s="835"/>
      <c r="P1739" s="835"/>
      <c r="Q1739" s="540"/>
      <c r="R1739" s="540"/>
      <c r="S1739" s="540"/>
      <c r="T1739" s="540"/>
      <c r="U1739" s="540"/>
      <c r="V1739" s="540"/>
      <c r="W1739" s="540"/>
      <c r="X1739" s="540"/>
      <c r="Y1739" s="540"/>
      <c r="Z1739" s="540"/>
    </row>
    <row r="1740" spans="1:26" ht="19">
      <c r="A1740" s="631"/>
      <c r="B1740" s="631"/>
      <c r="C1740" s="631"/>
      <c r="D1740" s="832"/>
      <c r="E1740" s="631"/>
      <c r="F1740" s="631"/>
      <c r="G1740" s="631"/>
      <c r="H1740" s="833"/>
      <c r="I1740" s="834"/>
      <c r="J1740" s="834"/>
      <c r="K1740" s="835"/>
      <c r="L1740" s="835"/>
      <c r="M1740" s="835"/>
      <c r="N1740" s="835"/>
      <c r="O1740" s="835"/>
      <c r="P1740" s="835"/>
      <c r="Q1740" s="540"/>
      <c r="R1740" s="540"/>
      <c r="S1740" s="540"/>
      <c r="T1740" s="540"/>
      <c r="U1740" s="540"/>
      <c r="V1740" s="540"/>
      <c r="W1740" s="540"/>
      <c r="X1740" s="540"/>
      <c r="Y1740" s="540"/>
      <c r="Z1740" s="540"/>
    </row>
    <row r="1741" spans="1:26" ht="19">
      <c r="A1741" s="631"/>
      <c r="B1741" s="631"/>
      <c r="C1741" s="631"/>
      <c r="D1741" s="832"/>
      <c r="E1741" s="631"/>
      <c r="F1741" s="631"/>
      <c r="G1741" s="631"/>
      <c r="H1741" s="833"/>
      <c r="I1741" s="834"/>
      <c r="J1741" s="834"/>
      <c r="K1741" s="835"/>
      <c r="L1741" s="835"/>
      <c r="M1741" s="835"/>
      <c r="N1741" s="835"/>
      <c r="O1741" s="835"/>
      <c r="P1741" s="835"/>
      <c r="Q1741" s="540"/>
      <c r="R1741" s="540"/>
      <c r="S1741" s="540"/>
      <c r="T1741" s="540"/>
      <c r="U1741" s="540"/>
      <c r="V1741" s="540"/>
      <c r="W1741" s="540"/>
      <c r="X1741" s="540"/>
      <c r="Y1741" s="540"/>
      <c r="Z1741" s="540"/>
    </row>
    <row r="1742" spans="1:26" ht="19">
      <c r="A1742" s="631"/>
      <c r="B1742" s="631"/>
      <c r="C1742" s="631"/>
      <c r="D1742" s="832"/>
      <c r="E1742" s="631"/>
      <c r="F1742" s="631"/>
      <c r="G1742" s="631"/>
      <c r="H1742" s="833"/>
      <c r="I1742" s="834"/>
      <c r="J1742" s="834"/>
      <c r="K1742" s="835"/>
      <c r="L1742" s="835"/>
      <c r="M1742" s="835"/>
      <c r="N1742" s="835"/>
      <c r="O1742" s="835"/>
      <c r="P1742" s="835"/>
      <c r="Q1742" s="540"/>
      <c r="R1742" s="540"/>
      <c r="S1742" s="540"/>
      <c r="T1742" s="540"/>
      <c r="U1742" s="540"/>
      <c r="V1742" s="540"/>
      <c r="W1742" s="540"/>
      <c r="X1742" s="540"/>
      <c r="Y1742" s="540"/>
      <c r="Z1742" s="540"/>
    </row>
    <row r="1743" spans="1:26" ht="19">
      <c r="A1743" s="631"/>
      <c r="B1743" s="631"/>
      <c r="C1743" s="631"/>
      <c r="D1743" s="832"/>
      <c r="E1743" s="631"/>
      <c r="F1743" s="631"/>
      <c r="G1743" s="631"/>
      <c r="H1743" s="833"/>
      <c r="I1743" s="834"/>
      <c r="J1743" s="834"/>
      <c r="K1743" s="835"/>
      <c r="L1743" s="835"/>
      <c r="M1743" s="835"/>
      <c r="N1743" s="835"/>
      <c r="O1743" s="835"/>
      <c r="P1743" s="835"/>
      <c r="Q1743" s="540"/>
      <c r="R1743" s="540"/>
      <c r="S1743" s="540"/>
      <c r="T1743" s="540"/>
      <c r="U1743" s="540"/>
      <c r="V1743" s="540"/>
      <c r="W1743" s="540"/>
      <c r="X1743" s="540"/>
      <c r="Y1743" s="540"/>
      <c r="Z1743" s="540"/>
    </row>
    <row r="1744" spans="1:26" ht="19">
      <c r="A1744" s="631"/>
      <c r="B1744" s="631"/>
      <c r="C1744" s="631"/>
      <c r="D1744" s="832"/>
      <c r="E1744" s="631"/>
      <c r="F1744" s="631"/>
      <c r="G1744" s="631"/>
      <c r="H1744" s="833"/>
      <c r="I1744" s="834"/>
      <c r="J1744" s="834"/>
      <c r="K1744" s="835"/>
      <c r="L1744" s="835"/>
      <c r="M1744" s="835"/>
      <c r="N1744" s="835"/>
      <c r="O1744" s="835"/>
      <c r="P1744" s="835"/>
      <c r="Q1744" s="540"/>
      <c r="R1744" s="540"/>
      <c r="S1744" s="540"/>
      <c r="T1744" s="540"/>
      <c r="U1744" s="540"/>
      <c r="V1744" s="540"/>
      <c r="W1744" s="540"/>
      <c r="X1744" s="540"/>
      <c r="Y1744" s="540"/>
      <c r="Z1744" s="540"/>
    </row>
    <row r="1745" spans="1:26" ht="19">
      <c r="A1745" s="631"/>
      <c r="B1745" s="631"/>
      <c r="C1745" s="631"/>
      <c r="D1745" s="832"/>
      <c r="E1745" s="631"/>
      <c r="F1745" s="631"/>
      <c r="G1745" s="631"/>
      <c r="H1745" s="833"/>
      <c r="I1745" s="834"/>
      <c r="J1745" s="834"/>
      <c r="K1745" s="835"/>
      <c r="L1745" s="835"/>
      <c r="M1745" s="835"/>
      <c r="N1745" s="835"/>
      <c r="O1745" s="835"/>
      <c r="P1745" s="835"/>
      <c r="Q1745" s="540"/>
      <c r="R1745" s="540"/>
      <c r="S1745" s="540"/>
      <c r="T1745" s="540"/>
      <c r="U1745" s="540"/>
      <c r="V1745" s="540"/>
      <c r="W1745" s="540"/>
      <c r="X1745" s="540"/>
      <c r="Y1745" s="540"/>
      <c r="Z1745" s="540"/>
    </row>
    <row r="1746" spans="1:26" ht="19">
      <c r="A1746" s="631"/>
      <c r="B1746" s="631"/>
      <c r="C1746" s="631"/>
      <c r="D1746" s="832"/>
      <c r="E1746" s="631"/>
      <c r="F1746" s="631"/>
      <c r="G1746" s="631"/>
      <c r="H1746" s="833"/>
      <c r="I1746" s="834"/>
      <c r="J1746" s="834"/>
      <c r="K1746" s="835"/>
      <c r="L1746" s="835"/>
      <c r="M1746" s="835"/>
      <c r="N1746" s="835"/>
      <c r="O1746" s="835"/>
      <c r="P1746" s="835"/>
      <c r="Q1746" s="540"/>
      <c r="R1746" s="540"/>
      <c r="S1746" s="540"/>
      <c r="T1746" s="540"/>
      <c r="U1746" s="540"/>
      <c r="V1746" s="540"/>
      <c r="W1746" s="540"/>
      <c r="X1746" s="540"/>
      <c r="Y1746" s="540"/>
      <c r="Z1746" s="540"/>
    </row>
    <row r="1747" spans="1:26" ht="19">
      <c r="A1747" s="631"/>
      <c r="B1747" s="631"/>
      <c r="C1747" s="631"/>
      <c r="D1747" s="832"/>
      <c r="E1747" s="631"/>
      <c r="F1747" s="631"/>
      <c r="G1747" s="631"/>
      <c r="H1747" s="833"/>
      <c r="I1747" s="834"/>
      <c r="J1747" s="834"/>
      <c r="K1747" s="835"/>
      <c r="L1747" s="835"/>
      <c r="M1747" s="835"/>
      <c r="N1747" s="835"/>
      <c r="O1747" s="835"/>
      <c r="P1747" s="835"/>
      <c r="Q1747" s="540"/>
      <c r="R1747" s="540"/>
      <c r="S1747" s="540"/>
      <c r="T1747" s="540"/>
      <c r="U1747" s="540"/>
      <c r="V1747" s="540"/>
      <c r="W1747" s="540"/>
      <c r="X1747" s="540"/>
      <c r="Y1747" s="540"/>
      <c r="Z1747" s="540"/>
    </row>
    <row r="1748" spans="1:26" ht="19">
      <c r="A1748" s="631"/>
      <c r="B1748" s="631"/>
      <c r="C1748" s="631"/>
      <c r="D1748" s="832"/>
      <c r="E1748" s="631"/>
      <c r="F1748" s="631"/>
      <c r="G1748" s="631"/>
      <c r="H1748" s="833"/>
      <c r="I1748" s="834"/>
      <c r="J1748" s="834"/>
      <c r="K1748" s="835"/>
      <c r="L1748" s="835"/>
      <c r="M1748" s="835"/>
      <c r="N1748" s="835"/>
      <c r="O1748" s="835"/>
      <c r="P1748" s="835"/>
      <c r="Q1748" s="540"/>
      <c r="R1748" s="540"/>
      <c r="S1748" s="540"/>
      <c r="T1748" s="540"/>
      <c r="U1748" s="540"/>
      <c r="V1748" s="540"/>
      <c r="W1748" s="540"/>
      <c r="X1748" s="540"/>
      <c r="Y1748" s="540"/>
      <c r="Z1748" s="540"/>
    </row>
    <row r="1749" spans="1:26" ht="19">
      <c r="A1749" s="631"/>
      <c r="B1749" s="631"/>
      <c r="C1749" s="631"/>
      <c r="D1749" s="832"/>
      <c r="E1749" s="631"/>
      <c r="F1749" s="631"/>
      <c r="G1749" s="631"/>
      <c r="H1749" s="833"/>
      <c r="I1749" s="834"/>
      <c r="J1749" s="834"/>
      <c r="K1749" s="835"/>
      <c r="L1749" s="835"/>
      <c r="M1749" s="835"/>
      <c r="N1749" s="835"/>
      <c r="O1749" s="835"/>
      <c r="P1749" s="835"/>
      <c r="Q1749" s="540"/>
      <c r="R1749" s="540"/>
      <c r="S1749" s="540"/>
      <c r="T1749" s="540"/>
      <c r="U1749" s="540"/>
      <c r="V1749" s="540"/>
      <c r="W1749" s="540"/>
      <c r="X1749" s="540"/>
      <c r="Y1749" s="540"/>
      <c r="Z1749" s="540"/>
    </row>
    <row r="1750" spans="1:26" ht="19">
      <c r="A1750" s="631"/>
      <c r="B1750" s="631"/>
      <c r="C1750" s="631"/>
      <c r="D1750" s="832"/>
      <c r="E1750" s="631"/>
      <c r="F1750" s="631"/>
      <c r="G1750" s="631"/>
      <c r="H1750" s="833"/>
      <c r="I1750" s="834"/>
      <c r="J1750" s="834"/>
      <c r="K1750" s="835"/>
      <c r="L1750" s="835"/>
      <c r="M1750" s="835"/>
      <c r="N1750" s="835"/>
      <c r="O1750" s="835"/>
      <c r="P1750" s="835"/>
      <c r="Q1750" s="540"/>
      <c r="R1750" s="540"/>
      <c r="S1750" s="540"/>
      <c r="T1750" s="540"/>
      <c r="U1750" s="540"/>
      <c r="V1750" s="540"/>
      <c r="W1750" s="540"/>
      <c r="X1750" s="540"/>
      <c r="Y1750" s="540"/>
      <c r="Z1750" s="540"/>
    </row>
    <row r="1751" spans="1:26" ht="19">
      <c r="A1751" s="631"/>
      <c r="B1751" s="631"/>
      <c r="C1751" s="631"/>
      <c r="D1751" s="832"/>
      <c r="E1751" s="631"/>
      <c r="F1751" s="631"/>
      <c r="G1751" s="631"/>
      <c r="H1751" s="833"/>
      <c r="I1751" s="834"/>
      <c r="J1751" s="834"/>
      <c r="K1751" s="835"/>
      <c r="L1751" s="835"/>
      <c r="M1751" s="835"/>
      <c r="N1751" s="835"/>
      <c r="O1751" s="835"/>
      <c r="P1751" s="835"/>
      <c r="Q1751" s="540"/>
      <c r="R1751" s="540"/>
      <c r="S1751" s="540"/>
      <c r="T1751" s="540"/>
      <c r="U1751" s="540"/>
      <c r="V1751" s="540"/>
      <c r="W1751" s="540"/>
      <c r="X1751" s="540"/>
      <c r="Y1751" s="540"/>
      <c r="Z1751" s="540"/>
    </row>
    <row r="1752" spans="1:26" ht="19">
      <c r="A1752" s="631"/>
      <c r="B1752" s="631"/>
      <c r="C1752" s="631"/>
      <c r="D1752" s="832"/>
      <c r="E1752" s="631"/>
      <c r="F1752" s="631"/>
      <c r="G1752" s="631"/>
      <c r="H1752" s="833"/>
      <c r="I1752" s="834"/>
      <c r="J1752" s="834"/>
      <c r="K1752" s="835"/>
      <c r="L1752" s="835"/>
      <c r="M1752" s="835"/>
      <c r="N1752" s="835"/>
      <c r="O1752" s="835"/>
      <c r="P1752" s="835"/>
      <c r="Q1752" s="540"/>
      <c r="R1752" s="540"/>
      <c r="S1752" s="540"/>
      <c r="T1752" s="540"/>
      <c r="U1752" s="540"/>
      <c r="V1752" s="540"/>
      <c r="W1752" s="540"/>
      <c r="X1752" s="540"/>
      <c r="Y1752" s="540"/>
      <c r="Z1752" s="540"/>
    </row>
    <row r="1753" spans="1:26" ht="19">
      <c r="A1753" s="631"/>
      <c r="B1753" s="631"/>
      <c r="C1753" s="631"/>
      <c r="D1753" s="832"/>
      <c r="E1753" s="631"/>
      <c r="F1753" s="631"/>
      <c r="G1753" s="631"/>
      <c r="H1753" s="833"/>
      <c r="I1753" s="834"/>
      <c r="J1753" s="834"/>
      <c r="K1753" s="835"/>
      <c r="L1753" s="835"/>
      <c r="M1753" s="835"/>
      <c r="N1753" s="835"/>
      <c r="O1753" s="835"/>
      <c r="P1753" s="835"/>
      <c r="Q1753" s="540"/>
      <c r="R1753" s="540"/>
      <c r="S1753" s="540"/>
      <c r="T1753" s="540"/>
      <c r="U1753" s="540"/>
      <c r="V1753" s="540"/>
      <c r="W1753" s="540"/>
      <c r="X1753" s="540"/>
      <c r="Y1753" s="540"/>
      <c r="Z1753" s="540"/>
    </row>
    <row r="1754" spans="1:26" ht="19">
      <c r="A1754" s="631"/>
      <c r="B1754" s="631"/>
      <c r="C1754" s="631"/>
      <c r="D1754" s="832"/>
      <c r="E1754" s="631"/>
      <c r="F1754" s="631"/>
      <c r="G1754" s="631"/>
      <c r="H1754" s="833"/>
      <c r="I1754" s="834"/>
      <c r="J1754" s="834"/>
      <c r="K1754" s="835"/>
      <c r="L1754" s="835"/>
      <c r="M1754" s="835"/>
      <c r="N1754" s="835"/>
      <c r="O1754" s="835"/>
      <c r="P1754" s="835"/>
      <c r="Q1754" s="540"/>
      <c r="R1754" s="540"/>
      <c r="S1754" s="540"/>
      <c r="T1754" s="540"/>
      <c r="U1754" s="540"/>
      <c r="V1754" s="540"/>
      <c r="W1754" s="540"/>
      <c r="X1754" s="540"/>
      <c r="Y1754" s="540"/>
      <c r="Z1754" s="540"/>
    </row>
    <row r="1755" spans="1:26" ht="19">
      <c r="A1755" s="631"/>
      <c r="B1755" s="631"/>
      <c r="C1755" s="631"/>
      <c r="D1755" s="832"/>
      <c r="E1755" s="631"/>
      <c r="F1755" s="631"/>
      <c r="G1755" s="631"/>
      <c r="H1755" s="833"/>
      <c r="I1755" s="834"/>
      <c r="J1755" s="834"/>
      <c r="K1755" s="835"/>
      <c r="L1755" s="835"/>
      <c r="M1755" s="835"/>
      <c r="N1755" s="835"/>
      <c r="O1755" s="835"/>
      <c r="P1755" s="835"/>
      <c r="Q1755" s="540"/>
      <c r="R1755" s="540"/>
      <c r="S1755" s="540"/>
      <c r="T1755" s="540"/>
      <c r="U1755" s="540"/>
      <c r="V1755" s="540"/>
      <c r="W1755" s="540"/>
      <c r="X1755" s="540"/>
      <c r="Y1755" s="540"/>
      <c r="Z1755" s="540"/>
    </row>
    <row r="1756" spans="1:26" ht="19">
      <c r="A1756" s="631"/>
      <c r="B1756" s="631"/>
      <c r="C1756" s="631"/>
      <c r="D1756" s="832"/>
      <c r="E1756" s="631"/>
      <c r="F1756" s="631"/>
      <c r="G1756" s="631"/>
      <c r="H1756" s="833"/>
      <c r="I1756" s="834"/>
      <c r="J1756" s="834"/>
      <c r="K1756" s="835"/>
      <c r="L1756" s="835"/>
      <c r="M1756" s="835"/>
      <c r="N1756" s="835"/>
      <c r="O1756" s="835"/>
      <c r="P1756" s="835"/>
      <c r="Q1756" s="540"/>
      <c r="R1756" s="540"/>
      <c r="S1756" s="540"/>
      <c r="T1756" s="540"/>
      <c r="U1756" s="540"/>
      <c r="V1756" s="540"/>
      <c r="W1756" s="540"/>
      <c r="X1756" s="540"/>
      <c r="Y1756" s="540"/>
      <c r="Z1756" s="540"/>
    </row>
    <row r="1757" spans="1:26" ht="19">
      <c r="A1757" s="631"/>
      <c r="B1757" s="631"/>
      <c r="C1757" s="631"/>
      <c r="D1757" s="832"/>
      <c r="E1757" s="631"/>
      <c r="F1757" s="631"/>
      <c r="G1757" s="631"/>
      <c r="H1757" s="833"/>
      <c r="I1757" s="834"/>
      <c r="J1757" s="834"/>
      <c r="K1757" s="835"/>
      <c r="L1757" s="835"/>
      <c r="M1757" s="835"/>
      <c r="N1757" s="835"/>
      <c r="O1757" s="835"/>
      <c r="P1757" s="835"/>
      <c r="Q1757" s="540"/>
      <c r="R1757" s="540"/>
      <c r="S1757" s="540"/>
      <c r="T1757" s="540"/>
      <c r="U1757" s="540"/>
      <c r="V1757" s="540"/>
      <c r="W1757" s="540"/>
      <c r="X1757" s="540"/>
      <c r="Y1757" s="540"/>
      <c r="Z1757" s="540"/>
    </row>
    <row r="1758" spans="1:26" ht="19">
      <c r="A1758" s="631"/>
      <c r="B1758" s="631"/>
      <c r="C1758" s="631"/>
      <c r="D1758" s="832"/>
      <c r="E1758" s="631"/>
      <c r="F1758" s="631"/>
      <c r="G1758" s="631"/>
      <c r="H1758" s="833"/>
      <c r="I1758" s="834"/>
      <c r="J1758" s="834"/>
      <c r="K1758" s="835"/>
      <c r="L1758" s="835"/>
      <c r="M1758" s="835"/>
      <c r="N1758" s="835"/>
      <c r="O1758" s="835"/>
      <c r="P1758" s="835"/>
      <c r="Q1758" s="540"/>
      <c r="R1758" s="540"/>
      <c r="S1758" s="540"/>
      <c r="T1758" s="540"/>
      <c r="U1758" s="540"/>
      <c r="V1758" s="540"/>
      <c r="W1758" s="540"/>
      <c r="X1758" s="540"/>
      <c r="Y1758" s="540"/>
      <c r="Z1758" s="540"/>
    </row>
    <row r="1759" spans="1:26" ht="19">
      <c r="A1759" s="631"/>
      <c r="B1759" s="631"/>
      <c r="C1759" s="631"/>
      <c r="D1759" s="832"/>
      <c r="E1759" s="631"/>
      <c r="F1759" s="631"/>
      <c r="G1759" s="631"/>
      <c r="H1759" s="833"/>
      <c r="I1759" s="834"/>
      <c r="J1759" s="834"/>
      <c r="K1759" s="835"/>
      <c r="L1759" s="835"/>
      <c r="M1759" s="835"/>
      <c r="N1759" s="835"/>
      <c r="O1759" s="835"/>
      <c r="P1759" s="835"/>
      <c r="Q1759" s="540"/>
      <c r="R1759" s="540"/>
      <c r="S1759" s="540"/>
      <c r="T1759" s="540"/>
      <c r="U1759" s="540"/>
      <c r="V1759" s="540"/>
      <c r="W1759" s="540"/>
      <c r="X1759" s="540"/>
      <c r="Y1759" s="540"/>
      <c r="Z1759" s="540"/>
    </row>
    <row r="1760" spans="1:26" ht="19">
      <c r="A1760" s="631"/>
      <c r="B1760" s="631"/>
      <c r="C1760" s="631"/>
      <c r="D1760" s="832"/>
      <c r="E1760" s="631"/>
      <c r="F1760" s="631"/>
      <c r="G1760" s="631"/>
      <c r="H1760" s="833"/>
      <c r="I1760" s="834"/>
      <c r="J1760" s="834"/>
      <c r="K1760" s="835"/>
      <c r="L1760" s="835"/>
      <c r="M1760" s="835"/>
      <c r="N1760" s="835"/>
      <c r="O1760" s="835"/>
      <c r="P1760" s="835"/>
      <c r="Q1760" s="540"/>
      <c r="R1760" s="540"/>
      <c r="S1760" s="540"/>
      <c r="T1760" s="540"/>
      <c r="U1760" s="540"/>
      <c r="V1760" s="540"/>
      <c r="W1760" s="540"/>
      <c r="X1760" s="540"/>
      <c r="Y1760" s="540"/>
      <c r="Z1760" s="540"/>
    </row>
    <row r="1761" spans="1:26" ht="19">
      <c r="A1761" s="631"/>
      <c r="B1761" s="631"/>
      <c r="C1761" s="631"/>
      <c r="D1761" s="832"/>
      <c r="E1761" s="631"/>
      <c r="F1761" s="631"/>
      <c r="G1761" s="631"/>
      <c r="H1761" s="833"/>
      <c r="I1761" s="834"/>
      <c r="J1761" s="834"/>
      <c r="K1761" s="835"/>
      <c r="L1761" s="835"/>
      <c r="M1761" s="835"/>
      <c r="N1761" s="835"/>
      <c r="O1761" s="835"/>
      <c r="P1761" s="835"/>
      <c r="Q1761" s="540"/>
      <c r="R1761" s="540"/>
      <c r="S1761" s="540"/>
      <c r="T1761" s="540"/>
      <c r="U1761" s="540"/>
      <c r="V1761" s="540"/>
      <c r="W1761" s="540"/>
      <c r="X1761" s="540"/>
      <c r="Y1761" s="540"/>
      <c r="Z1761" s="540"/>
    </row>
    <row r="1762" spans="1:26" ht="19">
      <c r="A1762" s="631"/>
      <c r="B1762" s="631"/>
      <c r="C1762" s="631"/>
      <c r="D1762" s="832"/>
      <c r="E1762" s="631"/>
      <c r="F1762" s="631"/>
      <c r="G1762" s="631"/>
      <c r="H1762" s="833"/>
      <c r="I1762" s="834"/>
      <c r="J1762" s="834"/>
      <c r="K1762" s="835"/>
      <c r="L1762" s="835"/>
      <c r="M1762" s="835"/>
      <c r="N1762" s="835"/>
      <c r="O1762" s="835"/>
      <c r="P1762" s="835"/>
      <c r="Q1762" s="540"/>
      <c r="R1762" s="540"/>
      <c r="S1762" s="540"/>
      <c r="T1762" s="540"/>
      <c r="U1762" s="540"/>
      <c r="V1762" s="540"/>
      <c r="W1762" s="540"/>
      <c r="X1762" s="540"/>
      <c r="Y1762" s="540"/>
      <c r="Z1762" s="540"/>
    </row>
    <row r="1763" spans="1:26" ht="19">
      <c r="A1763" s="631"/>
      <c r="B1763" s="631"/>
      <c r="C1763" s="631"/>
      <c r="D1763" s="832"/>
      <c r="E1763" s="631"/>
      <c r="F1763" s="631"/>
      <c r="G1763" s="631"/>
      <c r="H1763" s="833"/>
      <c r="I1763" s="834"/>
      <c r="J1763" s="834"/>
      <c r="K1763" s="835"/>
      <c r="L1763" s="835"/>
      <c r="M1763" s="835"/>
      <c r="N1763" s="835"/>
      <c r="O1763" s="835"/>
      <c r="P1763" s="835"/>
      <c r="Q1763" s="540"/>
      <c r="R1763" s="540"/>
      <c r="S1763" s="540"/>
      <c r="T1763" s="540"/>
      <c r="U1763" s="540"/>
      <c r="V1763" s="540"/>
      <c r="W1763" s="540"/>
      <c r="X1763" s="540"/>
      <c r="Y1763" s="540"/>
      <c r="Z1763" s="540"/>
    </row>
    <row r="1764" spans="1:26" ht="19">
      <c r="A1764" s="631"/>
      <c r="B1764" s="631"/>
      <c r="C1764" s="631"/>
      <c r="D1764" s="832"/>
      <c r="E1764" s="631"/>
      <c r="F1764" s="631"/>
      <c r="G1764" s="631"/>
      <c r="H1764" s="833"/>
      <c r="I1764" s="834"/>
      <c r="J1764" s="834"/>
      <c r="K1764" s="835"/>
      <c r="L1764" s="835"/>
      <c r="M1764" s="835"/>
      <c r="N1764" s="835"/>
      <c r="O1764" s="835"/>
      <c r="P1764" s="835"/>
      <c r="Q1764" s="540"/>
      <c r="R1764" s="540"/>
      <c r="S1764" s="540"/>
      <c r="T1764" s="540"/>
      <c r="U1764" s="540"/>
      <c r="V1764" s="540"/>
      <c r="W1764" s="540"/>
      <c r="X1764" s="540"/>
      <c r="Y1764" s="540"/>
      <c r="Z1764" s="540"/>
    </row>
    <row r="1765" spans="1:26" ht="19">
      <c r="A1765" s="631"/>
      <c r="B1765" s="631"/>
      <c r="C1765" s="631"/>
      <c r="D1765" s="832"/>
      <c r="E1765" s="631"/>
      <c r="F1765" s="631"/>
      <c r="G1765" s="631"/>
      <c r="H1765" s="833"/>
      <c r="I1765" s="834"/>
      <c r="J1765" s="834"/>
      <c r="K1765" s="835"/>
      <c r="L1765" s="835"/>
      <c r="M1765" s="835"/>
      <c r="N1765" s="835"/>
      <c r="O1765" s="835"/>
      <c r="P1765" s="835"/>
      <c r="Q1765" s="540"/>
      <c r="R1765" s="540"/>
      <c r="S1765" s="540"/>
      <c r="T1765" s="540"/>
      <c r="U1765" s="540"/>
      <c r="V1765" s="540"/>
      <c r="W1765" s="540"/>
      <c r="X1765" s="540"/>
      <c r="Y1765" s="540"/>
      <c r="Z1765" s="540"/>
    </row>
    <row r="1766" spans="1:26" ht="19">
      <c r="A1766" s="631"/>
      <c r="B1766" s="631"/>
      <c r="C1766" s="631"/>
      <c r="D1766" s="832"/>
      <c r="E1766" s="631"/>
      <c r="F1766" s="631"/>
      <c r="G1766" s="631"/>
      <c r="H1766" s="833"/>
      <c r="I1766" s="834"/>
      <c r="J1766" s="834"/>
      <c r="K1766" s="835"/>
      <c r="L1766" s="835"/>
      <c r="M1766" s="835"/>
      <c r="N1766" s="835"/>
      <c r="O1766" s="835"/>
      <c r="P1766" s="835"/>
      <c r="Q1766" s="540"/>
      <c r="R1766" s="540"/>
      <c r="S1766" s="540"/>
      <c r="T1766" s="540"/>
      <c r="U1766" s="540"/>
      <c r="V1766" s="540"/>
      <c r="W1766" s="540"/>
      <c r="X1766" s="540"/>
      <c r="Y1766" s="540"/>
      <c r="Z1766" s="540"/>
    </row>
    <row r="1767" spans="1:26" ht="19">
      <c r="A1767" s="631"/>
      <c r="B1767" s="631"/>
      <c r="C1767" s="631"/>
      <c r="D1767" s="832"/>
      <c r="E1767" s="631"/>
      <c r="F1767" s="631"/>
      <c r="G1767" s="631"/>
      <c r="H1767" s="833"/>
      <c r="I1767" s="834"/>
      <c r="J1767" s="834"/>
      <c r="K1767" s="835"/>
      <c r="L1767" s="835"/>
      <c r="M1767" s="835"/>
      <c r="N1767" s="835"/>
      <c r="O1767" s="835"/>
      <c r="P1767" s="835"/>
      <c r="Q1767" s="540"/>
      <c r="R1767" s="540"/>
      <c r="S1767" s="540"/>
      <c r="T1767" s="540"/>
      <c r="U1767" s="540"/>
      <c r="V1767" s="540"/>
      <c r="W1767" s="540"/>
      <c r="X1767" s="540"/>
      <c r="Y1767" s="540"/>
      <c r="Z1767" s="540"/>
    </row>
    <row r="1768" spans="1:26" ht="19">
      <c r="A1768" s="631"/>
      <c r="B1768" s="631"/>
      <c r="C1768" s="631"/>
      <c r="D1768" s="832"/>
      <c r="E1768" s="631"/>
      <c r="F1768" s="631"/>
      <c r="G1768" s="631"/>
      <c r="H1768" s="833"/>
      <c r="I1768" s="834"/>
      <c r="J1768" s="834"/>
      <c r="K1768" s="835"/>
      <c r="L1768" s="835"/>
      <c r="M1768" s="835"/>
      <c r="N1768" s="835"/>
      <c r="O1768" s="835"/>
      <c r="P1768" s="835"/>
      <c r="Q1768" s="540"/>
      <c r="R1768" s="540"/>
      <c r="S1768" s="540"/>
      <c r="T1768" s="540"/>
      <c r="U1768" s="540"/>
      <c r="V1768" s="540"/>
      <c r="W1768" s="540"/>
      <c r="X1768" s="540"/>
      <c r="Y1768" s="540"/>
      <c r="Z1768" s="540"/>
    </row>
    <row r="1769" spans="1:26" ht="19">
      <c r="A1769" s="631"/>
      <c r="B1769" s="631"/>
      <c r="C1769" s="631"/>
      <c r="D1769" s="832"/>
      <c r="E1769" s="631"/>
      <c r="F1769" s="631"/>
      <c r="G1769" s="631"/>
      <c r="H1769" s="833"/>
      <c r="I1769" s="834"/>
      <c r="J1769" s="834"/>
      <c r="K1769" s="835"/>
      <c r="L1769" s="835"/>
      <c r="M1769" s="835"/>
      <c r="N1769" s="835"/>
      <c r="O1769" s="835"/>
      <c r="P1769" s="835"/>
      <c r="Q1769" s="540"/>
      <c r="R1769" s="540"/>
      <c r="S1769" s="540"/>
      <c r="T1769" s="540"/>
      <c r="U1769" s="540"/>
      <c r="V1769" s="540"/>
      <c r="W1769" s="540"/>
      <c r="X1769" s="540"/>
      <c r="Y1769" s="540"/>
      <c r="Z1769" s="540"/>
    </row>
    <row r="1770" spans="1:26" ht="19">
      <c r="A1770" s="631"/>
      <c r="B1770" s="631"/>
      <c r="C1770" s="631"/>
      <c r="D1770" s="832"/>
      <c r="E1770" s="631"/>
      <c r="F1770" s="631"/>
      <c r="G1770" s="631"/>
      <c r="H1770" s="833"/>
      <c r="I1770" s="834"/>
      <c r="J1770" s="834"/>
      <c r="K1770" s="835"/>
      <c r="L1770" s="835"/>
      <c r="M1770" s="835"/>
      <c r="N1770" s="835"/>
      <c r="O1770" s="835"/>
      <c r="P1770" s="835"/>
      <c r="Q1770" s="540"/>
      <c r="R1770" s="540"/>
      <c r="S1770" s="540"/>
      <c r="T1770" s="540"/>
      <c r="U1770" s="540"/>
      <c r="V1770" s="540"/>
      <c r="W1770" s="540"/>
      <c r="X1770" s="540"/>
      <c r="Y1770" s="540"/>
      <c r="Z1770" s="540"/>
    </row>
    <row r="1771" spans="1:26" ht="19">
      <c r="A1771" s="631"/>
      <c r="B1771" s="631"/>
      <c r="C1771" s="631"/>
      <c r="D1771" s="832"/>
      <c r="E1771" s="631"/>
      <c r="F1771" s="631"/>
      <c r="G1771" s="631"/>
      <c r="H1771" s="833"/>
      <c r="I1771" s="834"/>
      <c r="J1771" s="834"/>
      <c r="K1771" s="835"/>
      <c r="L1771" s="835"/>
      <c r="M1771" s="835"/>
      <c r="N1771" s="835"/>
      <c r="O1771" s="835"/>
      <c r="P1771" s="835"/>
      <c r="Q1771" s="540"/>
      <c r="R1771" s="540"/>
      <c r="S1771" s="540"/>
      <c r="T1771" s="540"/>
      <c r="U1771" s="540"/>
      <c r="V1771" s="540"/>
      <c r="W1771" s="540"/>
      <c r="X1771" s="540"/>
      <c r="Y1771" s="540"/>
      <c r="Z1771" s="540"/>
    </row>
    <row r="1772" spans="1:26" ht="19">
      <c r="A1772" s="631"/>
      <c r="B1772" s="631"/>
      <c r="C1772" s="631"/>
      <c r="D1772" s="832"/>
      <c r="E1772" s="631"/>
      <c r="F1772" s="631"/>
      <c r="G1772" s="631"/>
      <c r="H1772" s="833"/>
      <c r="I1772" s="834"/>
      <c r="J1772" s="834"/>
      <c r="K1772" s="835"/>
      <c r="L1772" s="835"/>
      <c r="M1772" s="835"/>
      <c r="N1772" s="835"/>
      <c r="O1772" s="835"/>
      <c r="P1772" s="835"/>
      <c r="Q1772" s="540"/>
      <c r="R1772" s="540"/>
      <c r="S1772" s="540"/>
      <c r="T1772" s="540"/>
      <c r="U1772" s="540"/>
      <c r="V1772" s="540"/>
      <c r="W1772" s="540"/>
      <c r="X1772" s="540"/>
      <c r="Y1772" s="540"/>
      <c r="Z1772" s="540"/>
    </row>
    <row r="1773" spans="1:26" ht="19">
      <c r="A1773" s="631"/>
      <c r="B1773" s="631"/>
      <c r="C1773" s="631"/>
      <c r="D1773" s="832"/>
      <c r="E1773" s="631"/>
      <c r="F1773" s="631"/>
      <c r="G1773" s="631"/>
      <c r="H1773" s="833"/>
      <c r="I1773" s="834"/>
      <c r="J1773" s="834"/>
      <c r="K1773" s="835"/>
      <c r="L1773" s="835"/>
      <c r="M1773" s="835"/>
      <c r="N1773" s="835"/>
      <c r="O1773" s="835"/>
      <c r="P1773" s="835"/>
      <c r="Q1773" s="540"/>
      <c r="R1773" s="540"/>
      <c r="S1773" s="540"/>
      <c r="T1773" s="540"/>
      <c r="U1773" s="540"/>
      <c r="V1773" s="540"/>
      <c r="W1773" s="540"/>
      <c r="X1773" s="540"/>
      <c r="Y1773" s="540"/>
      <c r="Z1773" s="540"/>
    </row>
    <row r="1774" spans="1:26" ht="19">
      <c r="A1774" s="631"/>
      <c r="B1774" s="631"/>
      <c r="C1774" s="631"/>
      <c r="D1774" s="832"/>
      <c r="E1774" s="631"/>
      <c r="F1774" s="631"/>
      <c r="G1774" s="631"/>
      <c r="H1774" s="833"/>
      <c r="I1774" s="834"/>
      <c r="J1774" s="834"/>
      <c r="K1774" s="835"/>
      <c r="L1774" s="835"/>
      <c r="M1774" s="835"/>
      <c r="N1774" s="835"/>
      <c r="O1774" s="835"/>
      <c r="P1774" s="835"/>
      <c r="Q1774" s="540"/>
      <c r="R1774" s="540"/>
      <c r="S1774" s="540"/>
      <c r="T1774" s="540"/>
      <c r="U1774" s="540"/>
      <c r="V1774" s="540"/>
      <c r="W1774" s="540"/>
      <c r="X1774" s="540"/>
      <c r="Y1774" s="540"/>
      <c r="Z1774" s="540"/>
    </row>
    <row r="1775" spans="1:26" ht="19">
      <c r="A1775" s="631"/>
      <c r="B1775" s="631"/>
      <c r="C1775" s="631"/>
      <c r="D1775" s="832"/>
      <c r="E1775" s="631"/>
      <c r="F1775" s="631"/>
      <c r="G1775" s="631"/>
      <c r="H1775" s="833"/>
      <c r="I1775" s="834"/>
      <c r="J1775" s="834"/>
      <c r="K1775" s="835"/>
      <c r="L1775" s="835"/>
      <c r="M1775" s="835"/>
      <c r="N1775" s="835"/>
      <c r="O1775" s="835"/>
      <c r="P1775" s="835"/>
      <c r="Q1775" s="540"/>
      <c r="R1775" s="540"/>
      <c r="S1775" s="540"/>
      <c r="T1775" s="540"/>
      <c r="U1775" s="540"/>
      <c r="V1775" s="540"/>
      <c r="W1775" s="540"/>
      <c r="X1775" s="540"/>
      <c r="Y1775" s="540"/>
      <c r="Z1775" s="540"/>
    </row>
    <row r="1776" spans="1:26" ht="19">
      <c r="A1776" s="631"/>
      <c r="B1776" s="631"/>
      <c r="C1776" s="631"/>
      <c r="D1776" s="832"/>
      <c r="E1776" s="631"/>
      <c r="F1776" s="631"/>
      <c r="G1776" s="631"/>
      <c r="H1776" s="833"/>
      <c r="I1776" s="834"/>
      <c r="J1776" s="834"/>
      <c r="K1776" s="835"/>
      <c r="L1776" s="835"/>
      <c r="M1776" s="835"/>
      <c r="N1776" s="835"/>
      <c r="O1776" s="835"/>
      <c r="P1776" s="835"/>
      <c r="Q1776" s="540"/>
      <c r="R1776" s="540"/>
      <c r="S1776" s="540"/>
      <c r="T1776" s="540"/>
      <c r="U1776" s="540"/>
      <c r="V1776" s="540"/>
      <c r="W1776" s="540"/>
      <c r="X1776" s="540"/>
      <c r="Y1776" s="540"/>
      <c r="Z1776" s="540"/>
    </row>
    <row r="1777" spans="1:26" ht="19">
      <c r="A1777" s="631"/>
      <c r="B1777" s="631"/>
      <c r="C1777" s="631"/>
      <c r="D1777" s="832"/>
      <c r="E1777" s="631"/>
      <c r="F1777" s="631"/>
      <c r="G1777" s="631"/>
      <c r="H1777" s="833"/>
      <c r="I1777" s="834"/>
      <c r="J1777" s="834"/>
      <c r="K1777" s="835"/>
      <c r="L1777" s="835"/>
      <c r="M1777" s="835"/>
      <c r="N1777" s="835"/>
      <c r="O1777" s="835"/>
      <c r="P1777" s="835"/>
      <c r="Q1777" s="540"/>
      <c r="R1777" s="540"/>
      <c r="S1777" s="540"/>
      <c r="T1777" s="540"/>
      <c r="U1777" s="540"/>
      <c r="V1777" s="540"/>
      <c r="W1777" s="540"/>
      <c r="X1777" s="540"/>
      <c r="Y1777" s="540"/>
      <c r="Z1777" s="540"/>
    </row>
    <row r="1778" spans="1:26" ht="19">
      <c r="A1778" s="631"/>
      <c r="B1778" s="631"/>
      <c r="C1778" s="631"/>
      <c r="D1778" s="832"/>
      <c r="E1778" s="631"/>
      <c r="F1778" s="631"/>
      <c r="G1778" s="631"/>
      <c r="H1778" s="833"/>
      <c r="I1778" s="834"/>
      <c r="J1778" s="834"/>
      <c r="K1778" s="835"/>
      <c r="L1778" s="835"/>
      <c r="M1778" s="835"/>
      <c r="N1778" s="835"/>
      <c r="O1778" s="835"/>
      <c r="P1778" s="835"/>
      <c r="Q1778" s="540"/>
      <c r="R1778" s="540"/>
      <c r="S1778" s="540"/>
      <c r="T1778" s="540"/>
      <c r="U1778" s="540"/>
      <c r="V1778" s="540"/>
      <c r="W1778" s="540"/>
      <c r="X1778" s="540"/>
      <c r="Y1778" s="540"/>
      <c r="Z1778" s="540"/>
    </row>
    <row r="1779" spans="1:26" ht="19">
      <c r="A1779" s="631"/>
      <c r="B1779" s="631"/>
      <c r="C1779" s="631"/>
      <c r="D1779" s="832"/>
      <c r="E1779" s="631"/>
      <c r="F1779" s="631"/>
      <c r="G1779" s="631"/>
      <c r="H1779" s="833"/>
      <c r="I1779" s="834"/>
      <c r="J1779" s="834"/>
      <c r="K1779" s="835"/>
      <c r="L1779" s="835"/>
      <c r="M1779" s="835"/>
      <c r="N1779" s="835"/>
      <c r="O1779" s="835"/>
      <c r="P1779" s="835"/>
      <c r="Q1779" s="540"/>
      <c r="R1779" s="540"/>
      <c r="S1779" s="540"/>
      <c r="T1779" s="540"/>
      <c r="U1779" s="540"/>
      <c r="V1779" s="540"/>
      <c r="W1779" s="540"/>
      <c r="X1779" s="540"/>
      <c r="Y1779" s="540"/>
      <c r="Z1779" s="540"/>
    </row>
    <row r="1780" spans="1:26" ht="19">
      <c r="A1780" s="631"/>
      <c r="B1780" s="631"/>
      <c r="C1780" s="631"/>
      <c r="D1780" s="832"/>
      <c r="E1780" s="631"/>
      <c r="F1780" s="631"/>
      <c r="G1780" s="631"/>
      <c r="H1780" s="833"/>
      <c r="I1780" s="834"/>
      <c r="J1780" s="834"/>
      <c r="K1780" s="835"/>
      <c r="L1780" s="835"/>
      <c r="M1780" s="835"/>
      <c r="N1780" s="835"/>
      <c r="O1780" s="835"/>
      <c r="P1780" s="835"/>
      <c r="Q1780" s="540"/>
      <c r="R1780" s="540"/>
      <c r="S1780" s="540"/>
      <c r="T1780" s="540"/>
      <c r="U1780" s="540"/>
      <c r="V1780" s="540"/>
      <c r="W1780" s="540"/>
      <c r="X1780" s="540"/>
      <c r="Y1780" s="540"/>
      <c r="Z1780" s="540"/>
    </row>
    <row r="1781" spans="1:26" ht="19">
      <c r="A1781" s="631"/>
      <c r="B1781" s="631"/>
      <c r="C1781" s="631"/>
      <c r="D1781" s="832"/>
      <c r="E1781" s="631"/>
      <c r="F1781" s="631"/>
      <c r="G1781" s="631"/>
      <c r="H1781" s="833"/>
      <c r="I1781" s="834"/>
      <c r="J1781" s="834"/>
      <c r="K1781" s="835"/>
      <c r="L1781" s="835"/>
      <c r="M1781" s="835"/>
      <c r="N1781" s="835"/>
      <c r="O1781" s="835"/>
      <c r="P1781" s="835"/>
      <c r="Q1781" s="540"/>
      <c r="R1781" s="540"/>
      <c r="S1781" s="540"/>
      <c r="T1781" s="540"/>
      <c r="U1781" s="540"/>
      <c r="V1781" s="540"/>
      <c r="W1781" s="540"/>
      <c r="X1781" s="540"/>
      <c r="Y1781" s="540"/>
      <c r="Z1781" s="540"/>
    </row>
    <row r="1782" spans="1:26" ht="19">
      <c r="A1782" s="631"/>
      <c r="B1782" s="631"/>
      <c r="C1782" s="631"/>
      <c r="D1782" s="832"/>
      <c r="E1782" s="631"/>
      <c r="F1782" s="631"/>
      <c r="G1782" s="631"/>
      <c r="H1782" s="833"/>
      <c r="I1782" s="834"/>
      <c r="J1782" s="834"/>
      <c r="K1782" s="835"/>
      <c r="L1782" s="835"/>
      <c r="M1782" s="835"/>
      <c r="N1782" s="835"/>
      <c r="O1782" s="835"/>
      <c r="P1782" s="835"/>
      <c r="Q1782" s="540"/>
      <c r="R1782" s="540"/>
      <c r="S1782" s="540"/>
      <c r="T1782" s="540"/>
      <c r="U1782" s="540"/>
      <c r="V1782" s="540"/>
      <c r="W1782" s="540"/>
      <c r="X1782" s="540"/>
      <c r="Y1782" s="540"/>
      <c r="Z1782" s="540"/>
    </row>
    <row r="1783" spans="1:26" ht="19">
      <c r="A1783" s="631"/>
      <c r="B1783" s="631"/>
      <c r="C1783" s="631"/>
      <c r="D1783" s="832"/>
      <c r="E1783" s="631"/>
      <c r="F1783" s="631"/>
      <c r="G1783" s="631"/>
      <c r="H1783" s="833"/>
      <c r="I1783" s="834"/>
      <c r="J1783" s="834"/>
      <c r="K1783" s="835"/>
      <c r="L1783" s="835"/>
      <c r="M1783" s="835"/>
      <c r="N1783" s="835"/>
      <c r="O1783" s="835"/>
      <c r="P1783" s="835"/>
      <c r="Q1783" s="540"/>
      <c r="R1783" s="540"/>
      <c r="S1783" s="540"/>
      <c r="T1783" s="540"/>
      <c r="U1783" s="540"/>
      <c r="V1783" s="540"/>
      <c r="W1783" s="540"/>
      <c r="X1783" s="540"/>
      <c r="Y1783" s="540"/>
      <c r="Z1783" s="540"/>
    </row>
    <row r="1784" spans="1:26" ht="19">
      <c r="A1784" s="631"/>
      <c r="B1784" s="631"/>
      <c r="C1784" s="631"/>
      <c r="D1784" s="832"/>
      <c r="E1784" s="631"/>
      <c r="F1784" s="631"/>
      <c r="G1784" s="631"/>
      <c r="H1784" s="833"/>
      <c r="I1784" s="834"/>
      <c r="J1784" s="834"/>
      <c r="K1784" s="835"/>
      <c r="L1784" s="835"/>
      <c r="M1784" s="835"/>
      <c r="N1784" s="835"/>
      <c r="O1784" s="835"/>
      <c r="P1784" s="835"/>
      <c r="Q1784" s="540"/>
      <c r="R1784" s="540"/>
      <c r="S1784" s="540"/>
      <c r="T1784" s="540"/>
      <c r="U1784" s="540"/>
      <c r="V1784" s="540"/>
      <c r="W1784" s="540"/>
      <c r="X1784" s="540"/>
      <c r="Y1784" s="540"/>
      <c r="Z1784" s="540"/>
    </row>
    <row r="1785" spans="1:26" ht="19">
      <c r="A1785" s="631"/>
      <c r="B1785" s="631"/>
      <c r="C1785" s="631"/>
      <c r="D1785" s="832"/>
      <c r="E1785" s="631"/>
      <c r="F1785" s="631"/>
      <c r="G1785" s="631"/>
      <c r="H1785" s="833"/>
      <c r="I1785" s="834"/>
      <c r="J1785" s="834"/>
      <c r="K1785" s="835"/>
      <c r="L1785" s="835"/>
      <c r="M1785" s="835"/>
      <c r="N1785" s="835"/>
      <c r="O1785" s="835"/>
      <c r="P1785" s="835"/>
      <c r="Q1785" s="540"/>
      <c r="R1785" s="540"/>
      <c r="S1785" s="540"/>
      <c r="T1785" s="540"/>
      <c r="U1785" s="540"/>
      <c r="V1785" s="540"/>
      <c r="W1785" s="540"/>
      <c r="X1785" s="540"/>
      <c r="Y1785" s="540"/>
      <c r="Z1785" s="540"/>
    </row>
    <row r="1786" spans="1:26" ht="19">
      <c r="A1786" s="631"/>
      <c r="B1786" s="631"/>
      <c r="C1786" s="631"/>
      <c r="D1786" s="832"/>
      <c r="E1786" s="631"/>
      <c r="F1786" s="631"/>
      <c r="G1786" s="631"/>
      <c r="H1786" s="833"/>
      <c r="I1786" s="834"/>
      <c r="J1786" s="834"/>
      <c r="K1786" s="835"/>
      <c r="L1786" s="835"/>
      <c r="M1786" s="835"/>
      <c r="N1786" s="835"/>
      <c r="O1786" s="835"/>
      <c r="P1786" s="835"/>
      <c r="Q1786" s="540"/>
      <c r="R1786" s="540"/>
      <c r="S1786" s="540"/>
      <c r="T1786" s="540"/>
      <c r="U1786" s="540"/>
      <c r="V1786" s="540"/>
      <c r="W1786" s="540"/>
      <c r="X1786" s="540"/>
      <c r="Y1786" s="540"/>
      <c r="Z1786" s="540"/>
    </row>
    <row r="1787" spans="1:26" ht="19">
      <c r="A1787" s="631"/>
      <c r="B1787" s="631"/>
      <c r="C1787" s="631"/>
      <c r="D1787" s="832"/>
      <c r="E1787" s="631"/>
      <c r="F1787" s="631"/>
      <c r="G1787" s="631"/>
      <c r="H1787" s="833"/>
      <c r="I1787" s="834"/>
      <c r="J1787" s="834"/>
      <c r="K1787" s="835"/>
      <c r="L1787" s="835"/>
      <c r="M1787" s="835"/>
      <c r="N1787" s="835"/>
      <c r="O1787" s="835"/>
      <c r="P1787" s="835"/>
      <c r="Q1787" s="540"/>
      <c r="R1787" s="540"/>
      <c r="S1787" s="540"/>
      <c r="T1787" s="540"/>
      <c r="U1787" s="540"/>
      <c r="V1787" s="540"/>
      <c r="W1787" s="540"/>
      <c r="X1787" s="540"/>
      <c r="Y1787" s="540"/>
      <c r="Z1787" s="540"/>
    </row>
    <row r="1788" spans="1:26" ht="19">
      <c r="A1788" s="631"/>
      <c r="B1788" s="631"/>
      <c r="C1788" s="631"/>
      <c r="D1788" s="832"/>
      <c r="E1788" s="631"/>
      <c r="F1788" s="631"/>
      <c r="G1788" s="631"/>
      <c r="H1788" s="833"/>
      <c r="I1788" s="834"/>
      <c r="J1788" s="834"/>
      <c r="K1788" s="835"/>
      <c r="L1788" s="835"/>
      <c r="M1788" s="835"/>
      <c r="N1788" s="835"/>
      <c r="O1788" s="835"/>
      <c r="P1788" s="835"/>
      <c r="Q1788" s="540"/>
      <c r="R1788" s="540"/>
      <c r="S1788" s="540"/>
      <c r="T1788" s="540"/>
      <c r="U1788" s="540"/>
      <c r="V1788" s="540"/>
      <c r="W1788" s="540"/>
      <c r="X1788" s="540"/>
      <c r="Y1788" s="540"/>
      <c r="Z1788" s="540"/>
    </row>
    <row r="1789" spans="1:26" ht="19">
      <c r="A1789" s="631"/>
      <c r="B1789" s="631"/>
      <c r="C1789" s="631"/>
      <c r="D1789" s="832"/>
      <c r="E1789" s="631"/>
      <c r="F1789" s="631"/>
      <c r="G1789" s="631"/>
      <c r="H1789" s="833"/>
      <c r="I1789" s="834"/>
      <c r="J1789" s="834"/>
      <c r="K1789" s="835"/>
      <c r="L1789" s="835"/>
      <c r="M1789" s="835"/>
      <c r="N1789" s="835"/>
      <c r="O1789" s="835"/>
      <c r="P1789" s="835"/>
      <c r="Q1789" s="540"/>
      <c r="R1789" s="540"/>
      <c r="S1789" s="540"/>
      <c r="T1789" s="540"/>
      <c r="U1789" s="540"/>
      <c r="V1789" s="540"/>
      <c r="W1789" s="540"/>
      <c r="X1789" s="540"/>
      <c r="Y1789" s="540"/>
      <c r="Z1789" s="540"/>
    </row>
    <row r="1790" spans="1:26" ht="19">
      <c r="A1790" s="631"/>
      <c r="B1790" s="631"/>
      <c r="C1790" s="631"/>
      <c r="D1790" s="832"/>
      <c r="E1790" s="631"/>
      <c r="F1790" s="631"/>
      <c r="G1790" s="631"/>
      <c r="H1790" s="833"/>
      <c r="I1790" s="834"/>
      <c r="J1790" s="834"/>
      <c r="K1790" s="835"/>
      <c r="L1790" s="835"/>
      <c r="M1790" s="835"/>
      <c r="N1790" s="835"/>
      <c r="O1790" s="835"/>
      <c r="P1790" s="835"/>
      <c r="Q1790" s="540"/>
      <c r="R1790" s="540"/>
      <c r="S1790" s="540"/>
      <c r="T1790" s="540"/>
      <c r="U1790" s="540"/>
      <c r="V1790" s="540"/>
      <c r="W1790" s="540"/>
      <c r="X1790" s="540"/>
      <c r="Y1790" s="540"/>
      <c r="Z1790" s="540"/>
    </row>
    <row r="1791" spans="1:26" ht="19">
      <c r="A1791" s="631"/>
      <c r="B1791" s="631"/>
      <c r="C1791" s="631"/>
      <c r="D1791" s="832"/>
      <c r="E1791" s="631"/>
      <c r="F1791" s="631"/>
      <c r="G1791" s="631"/>
      <c r="H1791" s="833"/>
      <c r="I1791" s="834"/>
      <c r="J1791" s="834"/>
      <c r="K1791" s="835"/>
      <c r="L1791" s="835"/>
      <c r="M1791" s="835"/>
      <c r="N1791" s="835"/>
      <c r="O1791" s="835"/>
      <c r="P1791" s="835"/>
      <c r="Q1791" s="540"/>
      <c r="R1791" s="540"/>
      <c r="S1791" s="540"/>
      <c r="T1791" s="540"/>
      <c r="U1791" s="540"/>
      <c r="V1791" s="540"/>
      <c r="W1791" s="540"/>
      <c r="X1791" s="540"/>
      <c r="Y1791" s="540"/>
      <c r="Z1791" s="540"/>
    </row>
    <row r="1792" spans="1:26" ht="19">
      <c r="A1792" s="631"/>
      <c r="B1792" s="631"/>
      <c r="C1792" s="631"/>
      <c r="D1792" s="832"/>
      <c r="E1792" s="631"/>
      <c r="F1792" s="631"/>
      <c r="G1792" s="631"/>
      <c r="H1792" s="833"/>
      <c r="I1792" s="834"/>
      <c r="J1792" s="834"/>
      <c r="K1792" s="835"/>
      <c r="L1792" s="835"/>
      <c r="M1792" s="835"/>
      <c r="N1792" s="835"/>
      <c r="O1792" s="835"/>
      <c r="P1792" s="835"/>
      <c r="Q1792" s="540"/>
      <c r="R1792" s="540"/>
      <c r="S1792" s="540"/>
      <c r="T1792" s="540"/>
      <c r="U1792" s="540"/>
      <c r="V1792" s="540"/>
      <c r="W1792" s="540"/>
      <c r="X1792" s="540"/>
      <c r="Y1792" s="540"/>
      <c r="Z1792" s="540"/>
    </row>
    <row r="1793" spans="1:26" ht="19">
      <c r="A1793" s="631"/>
      <c r="B1793" s="631"/>
      <c r="C1793" s="631"/>
      <c r="D1793" s="832"/>
      <c r="E1793" s="631"/>
      <c r="F1793" s="631"/>
      <c r="G1793" s="631"/>
      <c r="H1793" s="833"/>
      <c r="I1793" s="834"/>
      <c r="J1793" s="834"/>
      <c r="K1793" s="835"/>
      <c r="L1793" s="835"/>
      <c r="M1793" s="835"/>
      <c r="N1793" s="835"/>
      <c r="O1793" s="835"/>
      <c r="P1793" s="835"/>
      <c r="Q1793" s="540"/>
      <c r="R1793" s="540"/>
      <c r="S1793" s="540"/>
      <c r="T1793" s="540"/>
      <c r="U1793" s="540"/>
      <c r="V1793" s="540"/>
      <c r="W1793" s="540"/>
      <c r="X1793" s="540"/>
      <c r="Y1793" s="540"/>
      <c r="Z1793" s="540"/>
    </row>
    <row r="1794" spans="1:26" ht="19">
      <c r="A1794" s="631"/>
      <c r="B1794" s="631"/>
      <c r="C1794" s="631"/>
      <c r="D1794" s="832"/>
      <c r="E1794" s="631"/>
      <c r="F1794" s="631"/>
      <c r="G1794" s="631"/>
      <c r="H1794" s="833"/>
      <c r="I1794" s="834"/>
      <c r="J1794" s="834"/>
      <c r="K1794" s="835"/>
      <c r="L1794" s="835"/>
      <c r="M1794" s="835"/>
      <c r="N1794" s="835"/>
      <c r="O1794" s="835"/>
      <c r="P1794" s="835"/>
      <c r="Q1794" s="540"/>
      <c r="R1794" s="540"/>
      <c r="S1794" s="540"/>
      <c r="T1794" s="540"/>
      <c r="U1794" s="540"/>
      <c r="V1794" s="540"/>
      <c r="W1794" s="540"/>
      <c r="X1794" s="540"/>
      <c r="Y1794" s="540"/>
      <c r="Z1794" s="540"/>
    </row>
    <row r="1795" spans="1:26" ht="19">
      <c r="A1795" s="631"/>
      <c r="B1795" s="631"/>
      <c r="C1795" s="631"/>
      <c r="D1795" s="832"/>
      <c r="E1795" s="631"/>
      <c r="F1795" s="631"/>
      <c r="G1795" s="631"/>
      <c r="H1795" s="833"/>
      <c r="I1795" s="834"/>
      <c r="J1795" s="834"/>
      <c r="K1795" s="835"/>
      <c r="L1795" s="835"/>
      <c r="M1795" s="835"/>
      <c r="N1795" s="835"/>
      <c r="O1795" s="835"/>
      <c r="P1795" s="835"/>
      <c r="Q1795" s="540"/>
      <c r="R1795" s="540"/>
      <c r="S1795" s="540"/>
      <c r="T1795" s="540"/>
      <c r="U1795" s="540"/>
      <c r="V1795" s="540"/>
      <c r="W1795" s="540"/>
      <c r="X1795" s="540"/>
      <c r="Y1795" s="540"/>
      <c r="Z1795" s="540"/>
    </row>
    <row r="1796" spans="1:26" ht="19">
      <c r="A1796" s="631"/>
      <c r="B1796" s="631"/>
      <c r="C1796" s="631"/>
      <c r="D1796" s="832"/>
      <c r="E1796" s="631"/>
      <c r="F1796" s="631"/>
      <c r="G1796" s="631"/>
      <c r="H1796" s="833"/>
      <c r="I1796" s="834"/>
      <c r="J1796" s="834"/>
      <c r="K1796" s="835"/>
      <c r="L1796" s="835"/>
      <c r="M1796" s="835"/>
      <c r="N1796" s="835"/>
      <c r="O1796" s="835"/>
      <c r="P1796" s="835"/>
      <c r="Q1796" s="540"/>
      <c r="R1796" s="540"/>
      <c r="S1796" s="540"/>
      <c r="T1796" s="540"/>
      <c r="U1796" s="540"/>
      <c r="V1796" s="540"/>
      <c r="W1796" s="540"/>
      <c r="X1796" s="540"/>
      <c r="Y1796" s="540"/>
      <c r="Z1796" s="540"/>
    </row>
    <row r="1797" spans="1:26" ht="19">
      <c r="A1797" s="631"/>
      <c r="B1797" s="631"/>
      <c r="C1797" s="631"/>
      <c r="D1797" s="832"/>
      <c r="E1797" s="631"/>
      <c r="F1797" s="631"/>
      <c r="G1797" s="631"/>
      <c r="H1797" s="833"/>
      <c r="I1797" s="834"/>
      <c r="J1797" s="834"/>
      <c r="K1797" s="835"/>
      <c r="L1797" s="835"/>
      <c r="M1797" s="835"/>
      <c r="N1797" s="835"/>
      <c r="O1797" s="835"/>
      <c r="P1797" s="835"/>
      <c r="Q1797" s="540"/>
      <c r="R1797" s="540"/>
      <c r="S1797" s="540"/>
      <c r="T1797" s="540"/>
      <c r="U1797" s="540"/>
      <c r="V1797" s="540"/>
      <c r="W1797" s="540"/>
      <c r="X1797" s="540"/>
      <c r="Y1797" s="540"/>
      <c r="Z1797" s="540"/>
    </row>
    <row r="1798" spans="1:26" ht="19">
      <c r="A1798" s="631"/>
      <c r="B1798" s="631"/>
      <c r="C1798" s="631"/>
      <c r="D1798" s="832"/>
      <c r="E1798" s="631"/>
      <c r="F1798" s="631"/>
      <c r="G1798" s="631"/>
      <c r="H1798" s="833"/>
      <c r="I1798" s="834"/>
      <c r="J1798" s="834"/>
      <c r="K1798" s="835"/>
      <c r="L1798" s="835"/>
      <c r="M1798" s="835"/>
      <c r="N1798" s="835"/>
      <c r="O1798" s="835"/>
      <c r="P1798" s="835"/>
      <c r="Q1798" s="540"/>
      <c r="R1798" s="540"/>
      <c r="S1798" s="540"/>
      <c r="T1798" s="540"/>
      <c r="U1798" s="540"/>
      <c r="V1798" s="540"/>
      <c r="W1798" s="540"/>
      <c r="X1798" s="540"/>
      <c r="Y1798" s="540"/>
      <c r="Z1798" s="540"/>
    </row>
    <row r="1799" spans="1:26" ht="19">
      <c r="A1799" s="631"/>
      <c r="B1799" s="631"/>
      <c r="C1799" s="631"/>
      <c r="D1799" s="832"/>
      <c r="E1799" s="631"/>
      <c r="F1799" s="631"/>
      <c r="G1799" s="631"/>
      <c r="H1799" s="833"/>
      <c r="I1799" s="834"/>
      <c r="J1799" s="834"/>
      <c r="K1799" s="835"/>
      <c r="L1799" s="835"/>
      <c r="M1799" s="835"/>
      <c r="N1799" s="835"/>
      <c r="O1799" s="835"/>
      <c r="P1799" s="835"/>
      <c r="Q1799" s="540"/>
      <c r="R1799" s="540"/>
      <c r="S1799" s="540"/>
      <c r="T1799" s="540"/>
      <c r="U1799" s="540"/>
      <c r="V1799" s="540"/>
      <c r="W1799" s="540"/>
      <c r="X1799" s="540"/>
      <c r="Y1799" s="540"/>
      <c r="Z1799" s="540"/>
    </row>
    <row r="1800" spans="1:26" ht="19">
      <c r="A1800" s="631"/>
      <c r="B1800" s="631"/>
      <c r="C1800" s="631"/>
      <c r="D1800" s="832"/>
      <c r="E1800" s="631"/>
      <c r="F1800" s="631"/>
      <c r="G1800" s="631"/>
      <c r="H1800" s="833"/>
      <c r="I1800" s="834"/>
      <c r="J1800" s="834"/>
      <c r="K1800" s="835"/>
      <c r="L1800" s="835"/>
      <c r="M1800" s="835"/>
      <c r="N1800" s="835"/>
      <c r="O1800" s="835"/>
      <c r="P1800" s="835"/>
      <c r="Q1800" s="540"/>
      <c r="R1800" s="540"/>
      <c r="S1800" s="540"/>
      <c r="T1800" s="540"/>
      <c r="U1800" s="540"/>
      <c r="V1800" s="540"/>
      <c r="W1800" s="540"/>
      <c r="X1800" s="540"/>
      <c r="Y1800" s="540"/>
      <c r="Z1800" s="540"/>
    </row>
    <row r="1801" spans="1:26" ht="19">
      <c r="A1801" s="631"/>
      <c r="B1801" s="631"/>
      <c r="C1801" s="631"/>
      <c r="D1801" s="832"/>
      <c r="E1801" s="631"/>
      <c r="F1801" s="631"/>
      <c r="G1801" s="631"/>
      <c r="H1801" s="833"/>
      <c r="I1801" s="834"/>
      <c r="J1801" s="834"/>
      <c r="K1801" s="835"/>
      <c r="L1801" s="835"/>
      <c r="M1801" s="835"/>
      <c r="N1801" s="835"/>
      <c r="O1801" s="835"/>
      <c r="P1801" s="835"/>
      <c r="Q1801" s="540"/>
      <c r="R1801" s="540"/>
      <c r="S1801" s="540"/>
      <c r="T1801" s="540"/>
      <c r="U1801" s="540"/>
      <c r="V1801" s="540"/>
      <c r="W1801" s="540"/>
      <c r="X1801" s="540"/>
      <c r="Y1801" s="540"/>
      <c r="Z1801" s="540"/>
    </row>
    <row r="1802" spans="1:26" ht="19">
      <c r="A1802" s="631"/>
      <c r="B1802" s="631"/>
      <c r="C1802" s="631"/>
      <c r="D1802" s="832"/>
      <c r="E1802" s="631"/>
      <c r="F1802" s="631"/>
      <c r="G1802" s="631"/>
      <c r="H1802" s="833"/>
      <c r="I1802" s="834"/>
      <c r="J1802" s="834"/>
      <c r="K1802" s="835"/>
      <c r="L1802" s="835"/>
      <c r="M1802" s="835"/>
      <c r="N1802" s="835"/>
      <c r="O1802" s="835"/>
      <c r="P1802" s="835"/>
      <c r="Q1802" s="540"/>
      <c r="R1802" s="540"/>
      <c r="S1802" s="540"/>
      <c r="T1802" s="540"/>
      <c r="U1802" s="540"/>
      <c r="V1802" s="540"/>
      <c r="W1802" s="540"/>
      <c r="X1802" s="540"/>
      <c r="Y1802" s="540"/>
      <c r="Z1802" s="540"/>
    </row>
    <row r="1803" spans="1:26" ht="19">
      <c r="A1803" s="631"/>
      <c r="B1803" s="631"/>
      <c r="C1803" s="631"/>
      <c r="D1803" s="832"/>
      <c r="E1803" s="631"/>
      <c r="F1803" s="631"/>
      <c r="G1803" s="631"/>
      <c r="H1803" s="833"/>
      <c r="I1803" s="834"/>
      <c r="J1803" s="834"/>
      <c r="K1803" s="835"/>
      <c r="L1803" s="835"/>
      <c r="M1803" s="835"/>
      <c r="N1803" s="835"/>
      <c r="O1803" s="835"/>
      <c r="P1803" s="835"/>
      <c r="Q1803" s="540"/>
      <c r="R1803" s="540"/>
      <c r="S1803" s="540"/>
      <c r="T1803" s="540"/>
      <c r="U1803" s="540"/>
      <c r="V1803" s="540"/>
      <c r="W1803" s="540"/>
      <c r="X1803" s="540"/>
      <c r="Y1803" s="540"/>
      <c r="Z1803" s="540"/>
    </row>
    <row r="1804" spans="1:26" ht="19">
      <c r="A1804" s="631"/>
      <c r="B1804" s="631"/>
      <c r="C1804" s="631"/>
      <c r="D1804" s="832"/>
      <c r="E1804" s="631"/>
      <c r="F1804" s="631"/>
      <c r="G1804" s="631"/>
      <c r="H1804" s="833"/>
      <c r="I1804" s="834"/>
      <c r="J1804" s="834"/>
      <c r="K1804" s="835"/>
      <c r="L1804" s="835"/>
      <c r="M1804" s="835"/>
      <c r="N1804" s="835"/>
      <c r="O1804" s="835"/>
      <c r="P1804" s="835"/>
      <c r="Q1804" s="540"/>
      <c r="R1804" s="540"/>
      <c r="S1804" s="540"/>
      <c r="T1804" s="540"/>
      <c r="U1804" s="540"/>
      <c r="V1804" s="540"/>
      <c r="W1804" s="540"/>
      <c r="X1804" s="540"/>
      <c r="Y1804" s="540"/>
      <c r="Z1804" s="540"/>
    </row>
    <row r="1805" spans="1:26" ht="19">
      <c r="A1805" s="631"/>
      <c r="B1805" s="631"/>
      <c r="C1805" s="631"/>
      <c r="D1805" s="832"/>
      <c r="E1805" s="631"/>
      <c r="F1805" s="631"/>
      <c r="G1805" s="631"/>
      <c r="H1805" s="833"/>
      <c r="I1805" s="834"/>
      <c r="J1805" s="834"/>
      <c r="K1805" s="835"/>
      <c r="L1805" s="835"/>
      <c r="M1805" s="835"/>
      <c r="N1805" s="835"/>
      <c r="O1805" s="835"/>
      <c r="P1805" s="835"/>
      <c r="Q1805" s="540"/>
      <c r="R1805" s="540"/>
      <c r="S1805" s="540"/>
      <c r="T1805" s="540"/>
      <c r="U1805" s="540"/>
      <c r="V1805" s="540"/>
      <c r="W1805" s="540"/>
      <c r="X1805" s="540"/>
      <c r="Y1805" s="540"/>
      <c r="Z1805" s="540"/>
    </row>
    <row r="1806" spans="1:26" ht="19">
      <c r="A1806" s="631"/>
      <c r="B1806" s="631"/>
      <c r="C1806" s="631"/>
      <c r="D1806" s="832"/>
      <c r="E1806" s="631"/>
      <c r="F1806" s="631"/>
      <c r="G1806" s="631"/>
      <c r="H1806" s="833"/>
      <c r="I1806" s="834"/>
      <c r="J1806" s="834"/>
      <c r="K1806" s="835"/>
      <c r="L1806" s="835"/>
      <c r="M1806" s="835"/>
      <c r="N1806" s="835"/>
      <c r="O1806" s="835"/>
      <c r="P1806" s="835"/>
      <c r="Q1806" s="540"/>
      <c r="R1806" s="540"/>
      <c r="S1806" s="540"/>
      <c r="T1806" s="540"/>
      <c r="U1806" s="540"/>
      <c r="V1806" s="540"/>
      <c r="W1806" s="540"/>
      <c r="X1806" s="540"/>
      <c r="Y1806" s="540"/>
      <c r="Z1806" s="540"/>
    </row>
    <row r="1807" spans="1:26" ht="19">
      <c r="A1807" s="631"/>
      <c r="B1807" s="631"/>
      <c r="C1807" s="631"/>
      <c r="D1807" s="832"/>
      <c r="E1807" s="631"/>
      <c r="F1807" s="631"/>
      <c r="G1807" s="631"/>
      <c r="H1807" s="833"/>
      <c r="I1807" s="834"/>
      <c r="J1807" s="834"/>
      <c r="K1807" s="835"/>
      <c r="L1807" s="835"/>
      <c r="M1807" s="835"/>
      <c r="N1807" s="835"/>
      <c r="O1807" s="835"/>
      <c r="P1807" s="835"/>
      <c r="Q1807" s="540"/>
      <c r="R1807" s="540"/>
      <c r="S1807" s="540"/>
      <c r="T1807" s="540"/>
      <c r="U1807" s="540"/>
      <c r="V1807" s="540"/>
      <c r="W1807" s="540"/>
      <c r="X1807" s="540"/>
      <c r="Y1807" s="540"/>
      <c r="Z1807" s="540"/>
    </row>
    <row r="1808" spans="1:26" ht="19">
      <c r="A1808" s="631"/>
      <c r="B1808" s="631"/>
      <c r="C1808" s="631"/>
      <c r="D1808" s="832"/>
      <c r="E1808" s="631"/>
      <c r="F1808" s="631"/>
      <c r="G1808" s="631"/>
      <c r="H1808" s="833"/>
      <c r="I1808" s="834"/>
      <c r="J1808" s="834"/>
      <c r="K1808" s="835"/>
      <c r="L1808" s="835"/>
      <c r="M1808" s="835"/>
      <c r="N1808" s="835"/>
      <c r="O1808" s="835"/>
      <c r="P1808" s="835"/>
      <c r="Q1808" s="540"/>
      <c r="R1808" s="540"/>
      <c r="S1808" s="540"/>
      <c r="T1808" s="540"/>
      <c r="U1808" s="540"/>
      <c r="V1808" s="540"/>
      <c r="W1808" s="540"/>
      <c r="X1808" s="540"/>
      <c r="Y1808" s="540"/>
      <c r="Z1808" s="540"/>
    </row>
    <row r="1809" spans="1:26" ht="19">
      <c r="A1809" s="631"/>
      <c r="B1809" s="631"/>
      <c r="C1809" s="631"/>
      <c r="D1809" s="832"/>
      <c r="E1809" s="631"/>
      <c r="F1809" s="631"/>
      <c r="G1809" s="631"/>
      <c r="H1809" s="833"/>
      <c r="I1809" s="834"/>
      <c r="J1809" s="834"/>
      <c r="K1809" s="835"/>
      <c r="L1809" s="835"/>
      <c r="M1809" s="835"/>
      <c r="N1809" s="835"/>
      <c r="O1809" s="835"/>
      <c r="P1809" s="835"/>
      <c r="Q1809" s="540"/>
      <c r="R1809" s="540"/>
      <c r="S1809" s="540"/>
      <c r="T1809" s="540"/>
      <c r="U1809" s="540"/>
      <c r="V1809" s="540"/>
      <c r="W1809" s="540"/>
      <c r="X1809" s="540"/>
      <c r="Y1809" s="540"/>
      <c r="Z1809" s="540"/>
    </row>
    <row r="1810" spans="1:26" ht="19">
      <c r="A1810" s="631"/>
      <c r="B1810" s="631"/>
      <c r="C1810" s="631"/>
      <c r="D1810" s="832"/>
      <c r="E1810" s="631"/>
      <c r="F1810" s="631"/>
      <c r="G1810" s="631"/>
      <c r="H1810" s="833"/>
      <c r="I1810" s="834"/>
      <c r="J1810" s="834"/>
      <c r="K1810" s="835"/>
      <c r="L1810" s="835"/>
      <c r="M1810" s="835"/>
      <c r="N1810" s="835"/>
      <c r="O1810" s="835"/>
      <c r="P1810" s="835"/>
      <c r="Q1810" s="540"/>
      <c r="R1810" s="540"/>
      <c r="S1810" s="540"/>
      <c r="T1810" s="540"/>
      <c r="U1810" s="540"/>
      <c r="V1810" s="540"/>
      <c r="W1810" s="540"/>
      <c r="X1810" s="540"/>
      <c r="Y1810" s="540"/>
      <c r="Z1810" s="540"/>
    </row>
    <row r="1811" spans="1:26" ht="19">
      <c r="A1811" s="631"/>
      <c r="B1811" s="631"/>
      <c r="C1811" s="631"/>
      <c r="D1811" s="832"/>
      <c r="E1811" s="631"/>
      <c r="F1811" s="631"/>
      <c r="G1811" s="631"/>
      <c r="H1811" s="833"/>
      <c r="I1811" s="834"/>
      <c r="J1811" s="834"/>
      <c r="K1811" s="835"/>
      <c r="L1811" s="835"/>
      <c r="M1811" s="835"/>
      <c r="N1811" s="835"/>
      <c r="O1811" s="835"/>
      <c r="P1811" s="835"/>
      <c r="Q1811" s="540"/>
      <c r="R1811" s="540"/>
      <c r="S1811" s="540"/>
      <c r="T1811" s="540"/>
      <c r="U1811" s="540"/>
      <c r="V1811" s="540"/>
      <c r="W1811" s="540"/>
      <c r="X1811" s="540"/>
      <c r="Y1811" s="540"/>
      <c r="Z1811" s="540"/>
    </row>
    <row r="1812" spans="1:26" ht="19">
      <c r="A1812" s="631"/>
      <c r="B1812" s="631"/>
      <c r="C1812" s="631"/>
      <c r="D1812" s="832"/>
      <c r="E1812" s="631"/>
      <c r="F1812" s="631"/>
      <c r="G1812" s="631"/>
      <c r="H1812" s="833"/>
      <c r="I1812" s="834"/>
      <c r="J1812" s="834"/>
      <c r="K1812" s="835"/>
      <c r="L1812" s="835"/>
      <c r="M1812" s="835"/>
      <c r="N1812" s="835"/>
      <c r="O1812" s="835"/>
      <c r="P1812" s="835"/>
      <c r="Q1812" s="540"/>
      <c r="R1812" s="540"/>
      <c r="S1812" s="540"/>
      <c r="T1812" s="540"/>
      <c r="U1812" s="540"/>
      <c r="V1812" s="540"/>
      <c r="W1812" s="540"/>
      <c r="X1812" s="540"/>
      <c r="Y1812" s="540"/>
      <c r="Z1812" s="540"/>
    </row>
    <row r="1813" spans="1:26" ht="19">
      <c r="A1813" s="631"/>
      <c r="B1813" s="631"/>
      <c r="C1813" s="631"/>
      <c r="D1813" s="832"/>
      <c r="E1813" s="631"/>
      <c r="F1813" s="631"/>
      <c r="G1813" s="631"/>
      <c r="H1813" s="833"/>
      <c r="I1813" s="834"/>
      <c r="J1813" s="834"/>
      <c r="K1813" s="835"/>
      <c r="L1813" s="835"/>
      <c r="M1813" s="835"/>
      <c r="N1813" s="835"/>
      <c r="O1813" s="835"/>
      <c r="P1813" s="835"/>
      <c r="Q1813" s="540"/>
      <c r="R1813" s="540"/>
      <c r="S1813" s="540"/>
      <c r="T1813" s="540"/>
      <c r="U1813" s="540"/>
      <c r="V1813" s="540"/>
      <c r="W1813" s="540"/>
      <c r="X1813" s="540"/>
      <c r="Y1813" s="540"/>
      <c r="Z1813" s="540"/>
    </row>
    <row r="1814" spans="1:26" ht="19">
      <c r="A1814" s="631"/>
      <c r="B1814" s="631"/>
      <c r="C1814" s="631"/>
      <c r="D1814" s="832"/>
      <c r="E1814" s="631"/>
      <c r="F1814" s="631"/>
      <c r="G1814" s="631"/>
      <c r="H1814" s="833"/>
      <c r="I1814" s="834"/>
      <c r="J1814" s="834"/>
      <c r="K1814" s="835"/>
      <c r="L1814" s="835"/>
      <c r="M1814" s="835"/>
      <c r="N1814" s="835"/>
      <c r="O1814" s="835"/>
      <c r="P1814" s="835"/>
      <c r="Q1814" s="540"/>
      <c r="R1814" s="540"/>
      <c r="S1814" s="540"/>
      <c r="T1814" s="540"/>
      <c r="U1814" s="540"/>
      <c r="V1814" s="540"/>
      <c r="W1814" s="540"/>
      <c r="X1814" s="540"/>
      <c r="Y1814" s="540"/>
      <c r="Z1814" s="540"/>
    </row>
    <row r="1815" spans="1:26" ht="19">
      <c r="A1815" s="631"/>
      <c r="B1815" s="631"/>
      <c r="C1815" s="631"/>
      <c r="D1815" s="832"/>
      <c r="E1815" s="631"/>
      <c r="F1815" s="631"/>
      <c r="G1815" s="631"/>
      <c r="H1815" s="833"/>
      <c r="I1815" s="834"/>
      <c r="J1815" s="834"/>
      <c r="K1815" s="835"/>
      <c r="L1815" s="835"/>
      <c r="M1815" s="835"/>
      <c r="N1815" s="835"/>
      <c r="O1815" s="835"/>
      <c r="P1815" s="835"/>
      <c r="Q1815" s="540"/>
      <c r="R1815" s="540"/>
      <c r="S1815" s="540"/>
      <c r="T1815" s="540"/>
      <c r="U1815" s="540"/>
      <c r="V1815" s="540"/>
      <c r="W1815" s="540"/>
      <c r="X1815" s="540"/>
      <c r="Y1815" s="540"/>
      <c r="Z1815" s="540"/>
    </row>
    <row r="1816" spans="1:26" ht="19">
      <c r="A1816" s="631"/>
      <c r="B1816" s="631"/>
      <c r="C1816" s="631"/>
      <c r="D1816" s="832"/>
      <c r="E1816" s="631"/>
      <c r="F1816" s="631"/>
      <c r="G1816" s="631"/>
      <c r="H1816" s="833"/>
      <c r="I1816" s="834"/>
      <c r="J1816" s="834"/>
      <c r="K1816" s="835"/>
      <c r="L1816" s="835"/>
      <c r="M1816" s="835"/>
      <c r="N1816" s="835"/>
      <c r="O1816" s="835"/>
      <c r="P1816" s="835"/>
      <c r="Q1816" s="540"/>
      <c r="R1816" s="540"/>
      <c r="S1816" s="540"/>
      <c r="T1816" s="540"/>
      <c r="U1816" s="540"/>
      <c r="V1816" s="540"/>
      <c r="W1816" s="540"/>
      <c r="X1816" s="540"/>
      <c r="Y1816" s="540"/>
      <c r="Z1816" s="540"/>
    </row>
    <row r="1817" spans="1:26" ht="19">
      <c r="A1817" s="631"/>
      <c r="B1817" s="631"/>
      <c r="C1817" s="631"/>
      <c r="D1817" s="832"/>
      <c r="E1817" s="631"/>
      <c r="F1817" s="631"/>
      <c r="G1817" s="631"/>
      <c r="H1817" s="833"/>
      <c r="I1817" s="834"/>
      <c r="J1817" s="834"/>
      <c r="K1817" s="835"/>
      <c r="L1817" s="835"/>
      <c r="M1817" s="835"/>
      <c r="N1817" s="835"/>
      <c r="O1817" s="835"/>
      <c r="P1817" s="835"/>
      <c r="Q1817" s="540"/>
      <c r="R1817" s="540"/>
      <c r="S1817" s="540"/>
      <c r="T1817" s="540"/>
      <c r="U1817" s="540"/>
      <c r="V1817" s="540"/>
      <c r="W1817" s="540"/>
      <c r="X1817" s="540"/>
      <c r="Y1817" s="540"/>
      <c r="Z1817" s="540"/>
    </row>
    <row r="1818" spans="1:26" ht="19">
      <c r="A1818" s="631"/>
      <c r="B1818" s="631"/>
      <c r="C1818" s="631"/>
      <c r="D1818" s="832"/>
      <c r="E1818" s="631"/>
      <c r="F1818" s="631"/>
      <c r="G1818" s="631"/>
      <c r="H1818" s="833"/>
      <c r="I1818" s="834"/>
      <c r="J1818" s="834"/>
      <c r="K1818" s="835"/>
      <c r="L1818" s="835"/>
      <c r="M1818" s="835"/>
      <c r="N1818" s="835"/>
      <c r="O1818" s="835"/>
      <c r="P1818" s="835"/>
      <c r="Q1818" s="540"/>
      <c r="R1818" s="540"/>
      <c r="S1818" s="540"/>
      <c r="T1818" s="540"/>
      <c r="U1818" s="540"/>
      <c r="V1818" s="540"/>
      <c r="W1818" s="540"/>
      <c r="X1818" s="540"/>
      <c r="Y1818" s="540"/>
      <c r="Z1818" s="540"/>
    </row>
    <row r="1819" spans="1:26" ht="19">
      <c r="A1819" s="631"/>
      <c r="B1819" s="631"/>
      <c r="C1819" s="631"/>
      <c r="D1819" s="832"/>
      <c r="E1819" s="631"/>
      <c r="F1819" s="631"/>
      <c r="G1819" s="631"/>
      <c r="H1819" s="833"/>
      <c r="I1819" s="834"/>
      <c r="J1819" s="834"/>
      <c r="K1819" s="835"/>
      <c r="L1819" s="835"/>
      <c r="M1819" s="835"/>
      <c r="N1819" s="835"/>
      <c r="O1819" s="835"/>
      <c r="P1819" s="835"/>
      <c r="Q1819" s="540"/>
      <c r="R1819" s="540"/>
      <c r="S1819" s="540"/>
      <c r="T1819" s="540"/>
      <c r="U1819" s="540"/>
      <c r="V1819" s="540"/>
      <c r="W1819" s="540"/>
      <c r="X1819" s="540"/>
      <c r="Y1819" s="540"/>
      <c r="Z1819" s="540"/>
    </row>
    <row r="1820" spans="1:26" ht="19">
      <c r="A1820" s="631"/>
      <c r="B1820" s="631"/>
      <c r="C1820" s="631"/>
      <c r="D1820" s="832"/>
      <c r="E1820" s="631"/>
      <c r="F1820" s="631"/>
      <c r="G1820" s="631"/>
      <c r="H1820" s="833"/>
      <c r="I1820" s="834"/>
      <c r="J1820" s="834"/>
      <c r="K1820" s="835"/>
      <c r="L1820" s="835"/>
      <c r="M1820" s="835"/>
      <c r="N1820" s="835"/>
      <c r="O1820" s="835"/>
      <c r="P1820" s="835"/>
      <c r="Q1820" s="540"/>
      <c r="R1820" s="540"/>
      <c r="S1820" s="540"/>
      <c r="T1820" s="540"/>
      <c r="U1820" s="540"/>
      <c r="V1820" s="540"/>
      <c r="W1820" s="540"/>
      <c r="X1820" s="540"/>
      <c r="Y1820" s="540"/>
      <c r="Z1820" s="540"/>
    </row>
    <row r="1821" spans="1:26" ht="19">
      <c r="A1821" s="631"/>
      <c r="B1821" s="631"/>
      <c r="C1821" s="631"/>
      <c r="D1821" s="832"/>
      <c r="E1821" s="631"/>
      <c r="F1821" s="631"/>
      <c r="G1821" s="631"/>
      <c r="H1821" s="833"/>
      <c r="I1821" s="834"/>
      <c r="J1821" s="834"/>
      <c r="K1821" s="835"/>
      <c r="L1821" s="835"/>
      <c r="M1821" s="835"/>
      <c r="N1821" s="835"/>
      <c r="O1821" s="835"/>
      <c r="P1821" s="835"/>
      <c r="Q1821" s="540"/>
      <c r="R1821" s="540"/>
      <c r="S1821" s="540"/>
      <c r="T1821" s="540"/>
      <c r="U1821" s="540"/>
      <c r="V1821" s="540"/>
      <c r="W1821" s="540"/>
      <c r="X1821" s="540"/>
      <c r="Y1821" s="540"/>
      <c r="Z1821" s="540"/>
    </row>
    <row r="1822" spans="1:26" ht="19">
      <c r="A1822" s="631"/>
      <c r="B1822" s="631"/>
      <c r="C1822" s="631"/>
      <c r="D1822" s="832"/>
      <c r="E1822" s="631"/>
      <c r="F1822" s="631"/>
      <c r="G1822" s="631"/>
      <c r="H1822" s="833"/>
      <c r="I1822" s="834"/>
      <c r="J1822" s="834"/>
      <c r="K1822" s="835"/>
      <c r="L1822" s="835"/>
      <c r="M1822" s="835"/>
      <c r="N1822" s="835"/>
      <c r="O1822" s="835"/>
      <c r="P1822" s="835"/>
      <c r="Q1822" s="540"/>
      <c r="R1822" s="540"/>
      <c r="S1822" s="540"/>
      <c r="T1822" s="540"/>
      <c r="U1822" s="540"/>
      <c r="V1822" s="540"/>
      <c r="W1822" s="540"/>
      <c r="X1822" s="540"/>
      <c r="Y1822" s="540"/>
      <c r="Z1822" s="540"/>
    </row>
    <row r="1823" spans="1:26" ht="19">
      <c r="A1823" s="631"/>
      <c r="B1823" s="631"/>
      <c r="C1823" s="631"/>
      <c r="D1823" s="832"/>
      <c r="E1823" s="631"/>
      <c r="F1823" s="631"/>
      <c r="G1823" s="631"/>
      <c r="H1823" s="833"/>
      <c r="I1823" s="834"/>
      <c r="J1823" s="834"/>
      <c r="K1823" s="835"/>
      <c r="L1823" s="835"/>
      <c r="M1823" s="835"/>
      <c r="N1823" s="835"/>
      <c r="O1823" s="835"/>
      <c r="P1823" s="835"/>
      <c r="Q1823" s="540"/>
      <c r="R1823" s="540"/>
      <c r="S1823" s="540"/>
      <c r="T1823" s="540"/>
      <c r="U1823" s="540"/>
      <c r="V1823" s="540"/>
      <c r="W1823" s="540"/>
      <c r="X1823" s="540"/>
      <c r="Y1823" s="540"/>
      <c r="Z1823" s="540"/>
    </row>
    <row r="1824" spans="1:26" ht="19">
      <c r="A1824" s="631"/>
      <c r="B1824" s="631"/>
      <c r="C1824" s="631"/>
      <c r="D1824" s="832"/>
      <c r="E1824" s="631"/>
      <c r="F1824" s="631"/>
      <c r="G1824" s="631"/>
      <c r="H1824" s="833"/>
      <c r="I1824" s="834"/>
      <c r="J1824" s="834"/>
      <c r="K1824" s="835"/>
      <c r="L1824" s="835"/>
      <c r="M1824" s="835"/>
      <c r="N1824" s="835"/>
      <c r="O1824" s="835"/>
      <c r="P1824" s="835"/>
      <c r="Q1824" s="540"/>
      <c r="R1824" s="540"/>
      <c r="S1824" s="540"/>
      <c r="T1824" s="540"/>
      <c r="U1824" s="540"/>
      <c r="V1824" s="540"/>
      <c r="W1824" s="540"/>
      <c r="X1824" s="540"/>
      <c r="Y1824" s="540"/>
      <c r="Z1824" s="540"/>
    </row>
    <row r="1825" spans="1:26" ht="19">
      <c r="A1825" s="631"/>
      <c r="B1825" s="631"/>
      <c r="C1825" s="631"/>
      <c r="D1825" s="832"/>
      <c r="E1825" s="631"/>
      <c r="F1825" s="631"/>
      <c r="G1825" s="631"/>
      <c r="H1825" s="833"/>
      <c r="I1825" s="834"/>
      <c r="J1825" s="834"/>
      <c r="K1825" s="835"/>
      <c r="L1825" s="835"/>
      <c r="M1825" s="835"/>
      <c r="N1825" s="835"/>
      <c r="O1825" s="835"/>
      <c r="P1825" s="835"/>
      <c r="Q1825" s="540"/>
      <c r="R1825" s="540"/>
      <c r="S1825" s="540"/>
      <c r="T1825" s="540"/>
      <c r="U1825" s="540"/>
      <c r="V1825" s="540"/>
      <c r="W1825" s="540"/>
      <c r="X1825" s="540"/>
      <c r="Y1825" s="540"/>
      <c r="Z1825" s="540"/>
    </row>
    <row r="1826" spans="1:26" ht="19">
      <c r="A1826" s="631"/>
      <c r="B1826" s="631"/>
      <c r="C1826" s="631"/>
      <c r="D1826" s="832"/>
      <c r="E1826" s="631"/>
      <c r="F1826" s="631"/>
      <c r="G1826" s="631"/>
      <c r="H1826" s="833"/>
      <c r="I1826" s="834"/>
      <c r="J1826" s="834"/>
      <c r="K1826" s="835"/>
      <c r="L1826" s="835"/>
      <c r="M1826" s="835"/>
      <c r="N1826" s="835"/>
      <c r="O1826" s="835"/>
      <c r="P1826" s="835"/>
      <c r="Q1826" s="540"/>
      <c r="R1826" s="540"/>
      <c r="S1826" s="540"/>
      <c r="T1826" s="540"/>
      <c r="U1826" s="540"/>
      <c r="V1826" s="540"/>
      <c r="W1826" s="540"/>
      <c r="X1826" s="540"/>
      <c r="Y1826" s="540"/>
      <c r="Z1826" s="540"/>
    </row>
    <row r="1827" spans="1:26" ht="19">
      <c r="A1827" s="631"/>
      <c r="B1827" s="631"/>
      <c r="C1827" s="631"/>
      <c r="D1827" s="832"/>
      <c r="E1827" s="631"/>
      <c r="F1827" s="631"/>
      <c r="G1827" s="631"/>
      <c r="H1827" s="833"/>
      <c r="I1827" s="834"/>
      <c r="J1827" s="834"/>
      <c r="K1827" s="835"/>
      <c r="L1827" s="835"/>
      <c r="M1827" s="835"/>
      <c r="N1827" s="835"/>
      <c r="O1827" s="835"/>
      <c r="P1827" s="835"/>
      <c r="Q1827" s="540"/>
      <c r="R1827" s="540"/>
      <c r="S1827" s="540"/>
      <c r="T1827" s="540"/>
      <c r="U1827" s="540"/>
      <c r="V1827" s="540"/>
      <c r="W1827" s="540"/>
      <c r="X1827" s="540"/>
      <c r="Y1827" s="540"/>
      <c r="Z1827" s="540"/>
    </row>
    <row r="1828" spans="1:26" ht="19">
      <c r="A1828" s="631"/>
      <c r="B1828" s="631"/>
      <c r="C1828" s="631"/>
      <c r="D1828" s="832"/>
      <c r="E1828" s="631"/>
      <c r="F1828" s="631"/>
      <c r="G1828" s="631"/>
      <c r="H1828" s="833"/>
      <c r="I1828" s="834"/>
      <c r="J1828" s="834"/>
      <c r="K1828" s="835"/>
      <c r="L1828" s="835"/>
      <c r="M1828" s="835"/>
      <c r="N1828" s="835"/>
      <c r="O1828" s="835"/>
      <c r="P1828" s="835"/>
      <c r="Q1828" s="540"/>
      <c r="R1828" s="540"/>
      <c r="S1828" s="540"/>
      <c r="T1828" s="540"/>
      <c r="U1828" s="540"/>
      <c r="V1828" s="540"/>
      <c r="W1828" s="540"/>
      <c r="X1828" s="540"/>
      <c r="Y1828" s="540"/>
      <c r="Z1828" s="540"/>
    </row>
    <row r="1829" spans="1:26" ht="19">
      <c r="A1829" s="631"/>
      <c r="B1829" s="631"/>
      <c r="C1829" s="631"/>
      <c r="D1829" s="832"/>
      <c r="E1829" s="631"/>
      <c r="F1829" s="631"/>
      <c r="G1829" s="631"/>
      <c r="H1829" s="833"/>
      <c r="I1829" s="834"/>
      <c r="J1829" s="834"/>
      <c r="K1829" s="835"/>
      <c r="L1829" s="835"/>
      <c r="M1829" s="835"/>
      <c r="N1829" s="835"/>
      <c r="O1829" s="835"/>
      <c r="P1829" s="835"/>
      <c r="Q1829" s="540"/>
      <c r="R1829" s="540"/>
      <c r="S1829" s="540"/>
      <c r="T1829" s="540"/>
      <c r="U1829" s="540"/>
      <c r="V1829" s="540"/>
      <c r="W1829" s="540"/>
      <c r="X1829" s="540"/>
      <c r="Y1829" s="540"/>
      <c r="Z1829" s="540"/>
    </row>
    <row r="1830" spans="1:26" ht="19">
      <c r="A1830" s="631"/>
      <c r="B1830" s="631"/>
      <c r="C1830" s="631"/>
      <c r="D1830" s="832"/>
      <c r="E1830" s="631"/>
      <c r="F1830" s="631"/>
      <c r="G1830" s="631"/>
      <c r="H1830" s="833"/>
      <c r="I1830" s="834"/>
      <c r="J1830" s="834"/>
      <c r="K1830" s="835"/>
      <c r="L1830" s="835"/>
      <c r="M1830" s="835"/>
      <c r="N1830" s="835"/>
      <c r="O1830" s="835"/>
      <c r="P1830" s="835"/>
      <c r="Q1830" s="540"/>
      <c r="R1830" s="540"/>
      <c r="S1830" s="540"/>
      <c r="T1830" s="540"/>
      <c r="U1830" s="540"/>
      <c r="V1830" s="540"/>
      <c r="W1830" s="540"/>
      <c r="X1830" s="540"/>
      <c r="Y1830" s="540"/>
      <c r="Z1830" s="540"/>
    </row>
    <row r="1831" spans="1:26" ht="19">
      <c r="A1831" s="631"/>
      <c r="B1831" s="631"/>
      <c r="C1831" s="631"/>
      <c r="D1831" s="832"/>
      <c r="E1831" s="631"/>
      <c r="F1831" s="631"/>
      <c r="G1831" s="631"/>
      <c r="H1831" s="833"/>
      <c r="I1831" s="834"/>
      <c r="J1831" s="834"/>
      <c r="K1831" s="835"/>
      <c r="L1831" s="835"/>
      <c r="M1831" s="835"/>
      <c r="N1831" s="835"/>
      <c r="O1831" s="835"/>
      <c r="P1831" s="835"/>
      <c r="Q1831" s="540"/>
      <c r="R1831" s="540"/>
      <c r="S1831" s="540"/>
      <c r="T1831" s="540"/>
      <c r="U1831" s="540"/>
      <c r="V1831" s="540"/>
      <c r="W1831" s="540"/>
      <c r="X1831" s="540"/>
      <c r="Y1831" s="540"/>
      <c r="Z1831" s="540"/>
    </row>
    <row r="1832" spans="1:26" ht="19">
      <c r="A1832" s="631"/>
      <c r="B1832" s="631"/>
      <c r="C1832" s="631"/>
      <c r="D1832" s="832"/>
      <c r="E1832" s="631"/>
      <c r="F1832" s="631"/>
      <c r="G1832" s="631"/>
      <c r="H1832" s="833"/>
      <c r="I1832" s="834"/>
      <c r="J1832" s="834"/>
      <c r="K1832" s="835"/>
      <c r="L1832" s="835"/>
      <c r="M1832" s="835"/>
      <c r="N1832" s="835"/>
      <c r="O1832" s="835"/>
      <c r="P1832" s="835"/>
      <c r="Q1832" s="540"/>
      <c r="R1832" s="540"/>
      <c r="S1832" s="540"/>
      <c r="T1832" s="540"/>
      <c r="U1832" s="540"/>
      <c r="V1832" s="540"/>
      <c r="W1832" s="540"/>
      <c r="X1832" s="540"/>
      <c r="Y1832" s="540"/>
      <c r="Z1832" s="540"/>
    </row>
    <row r="1833" spans="1:26" ht="19">
      <c r="A1833" s="631"/>
      <c r="B1833" s="631"/>
      <c r="C1833" s="631"/>
      <c r="D1833" s="832"/>
      <c r="E1833" s="631"/>
      <c r="F1833" s="631"/>
      <c r="G1833" s="631"/>
      <c r="H1833" s="833"/>
      <c r="I1833" s="834"/>
      <c r="J1833" s="834"/>
      <c r="K1833" s="835"/>
      <c r="L1833" s="835"/>
      <c r="M1833" s="835"/>
      <c r="N1833" s="835"/>
      <c r="O1833" s="835"/>
      <c r="P1833" s="835"/>
      <c r="Q1833" s="540"/>
      <c r="R1833" s="540"/>
      <c r="S1833" s="540"/>
      <c r="T1833" s="540"/>
      <c r="U1833" s="540"/>
      <c r="V1833" s="540"/>
      <c r="W1833" s="540"/>
      <c r="X1833" s="540"/>
      <c r="Y1833" s="540"/>
      <c r="Z1833" s="540"/>
    </row>
    <row r="1834" spans="1:26" ht="19">
      <c r="A1834" s="631"/>
      <c r="B1834" s="631"/>
      <c r="C1834" s="631"/>
      <c r="D1834" s="832"/>
      <c r="E1834" s="631"/>
      <c r="F1834" s="631"/>
      <c r="G1834" s="631"/>
      <c r="H1834" s="833"/>
      <c r="I1834" s="834"/>
      <c r="J1834" s="834"/>
      <c r="K1834" s="835"/>
      <c r="L1834" s="835"/>
      <c r="M1834" s="835"/>
      <c r="N1834" s="835"/>
      <c r="O1834" s="835"/>
      <c r="P1834" s="835"/>
      <c r="Q1834" s="540"/>
      <c r="R1834" s="540"/>
      <c r="S1834" s="540"/>
      <c r="T1834" s="540"/>
      <c r="U1834" s="540"/>
      <c r="V1834" s="540"/>
      <c r="W1834" s="540"/>
      <c r="X1834" s="540"/>
      <c r="Y1834" s="540"/>
      <c r="Z1834" s="540"/>
    </row>
    <row r="1835" spans="1:26" ht="19">
      <c r="A1835" s="631"/>
      <c r="B1835" s="631"/>
      <c r="C1835" s="631"/>
      <c r="D1835" s="832"/>
      <c r="E1835" s="631"/>
      <c r="F1835" s="631"/>
      <c r="G1835" s="631"/>
      <c r="H1835" s="833"/>
      <c r="I1835" s="834"/>
      <c r="J1835" s="834"/>
      <c r="K1835" s="835"/>
      <c r="L1835" s="835"/>
      <c r="M1835" s="835"/>
      <c r="N1835" s="835"/>
      <c r="O1835" s="835"/>
      <c r="P1835" s="835"/>
      <c r="Q1835" s="540"/>
      <c r="R1835" s="540"/>
      <c r="S1835" s="540"/>
      <c r="T1835" s="540"/>
      <c r="U1835" s="540"/>
      <c r="V1835" s="540"/>
      <c r="W1835" s="540"/>
      <c r="X1835" s="540"/>
      <c r="Y1835" s="540"/>
      <c r="Z1835" s="540"/>
    </row>
    <row r="1836" spans="1:26" ht="19">
      <c r="A1836" s="631"/>
      <c r="B1836" s="631"/>
      <c r="C1836" s="631"/>
      <c r="D1836" s="832"/>
      <c r="E1836" s="631"/>
      <c r="F1836" s="631"/>
      <c r="G1836" s="631"/>
      <c r="H1836" s="833"/>
      <c r="I1836" s="834"/>
      <c r="J1836" s="834"/>
      <c r="K1836" s="835"/>
      <c r="L1836" s="835"/>
      <c r="M1836" s="835"/>
      <c r="N1836" s="835"/>
      <c r="O1836" s="835"/>
      <c r="P1836" s="835"/>
      <c r="Q1836" s="540"/>
      <c r="R1836" s="540"/>
      <c r="S1836" s="540"/>
      <c r="T1836" s="540"/>
      <c r="U1836" s="540"/>
      <c r="V1836" s="540"/>
      <c r="W1836" s="540"/>
      <c r="X1836" s="540"/>
      <c r="Y1836" s="540"/>
      <c r="Z1836" s="540"/>
    </row>
    <row r="1837" spans="1:26" ht="19">
      <c r="A1837" s="631"/>
      <c r="B1837" s="631"/>
      <c r="C1837" s="631"/>
      <c r="D1837" s="832"/>
      <c r="E1837" s="631"/>
      <c r="F1837" s="631"/>
      <c r="G1837" s="631"/>
      <c r="H1837" s="833"/>
      <c r="I1837" s="834"/>
      <c r="J1837" s="834"/>
      <c r="K1837" s="835"/>
      <c r="L1837" s="835"/>
      <c r="M1837" s="835"/>
      <c r="N1837" s="835"/>
      <c r="O1837" s="835"/>
      <c r="P1837" s="835"/>
      <c r="Q1837" s="540"/>
      <c r="R1837" s="540"/>
      <c r="S1837" s="540"/>
      <c r="T1837" s="540"/>
      <c r="U1837" s="540"/>
      <c r="V1837" s="540"/>
      <c r="W1837" s="540"/>
      <c r="X1837" s="540"/>
      <c r="Y1837" s="540"/>
      <c r="Z1837" s="540"/>
    </row>
    <row r="1838" spans="1:26" ht="19">
      <c r="A1838" s="631"/>
      <c r="B1838" s="631"/>
      <c r="C1838" s="631"/>
      <c r="D1838" s="832"/>
      <c r="E1838" s="631"/>
      <c r="F1838" s="631"/>
      <c r="G1838" s="631"/>
      <c r="H1838" s="833"/>
      <c r="I1838" s="834"/>
      <c r="J1838" s="834"/>
      <c r="K1838" s="835"/>
      <c r="L1838" s="835"/>
      <c r="M1838" s="835"/>
      <c r="N1838" s="835"/>
      <c r="O1838" s="835"/>
      <c r="P1838" s="835"/>
      <c r="Q1838" s="540"/>
      <c r="R1838" s="540"/>
      <c r="S1838" s="540"/>
      <c r="T1838" s="540"/>
      <c r="U1838" s="540"/>
      <c r="V1838" s="540"/>
      <c r="W1838" s="540"/>
      <c r="X1838" s="540"/>
      <c r="Y1838" s="540"/>
      <c r="Z1838" s="540"/>
    </row>
    <row r="1839" spans="1:26" ht="19">
      <c r="A1839" s="631"/>
      <c r="B1839" s="631"/>
      <c r="C1839" s="631"/>
      <c r="D1839" s="832"/>
      <c r="E1839" s="631"/>
      <c r="F1839" s="631"/>
      <c r="G1839" s="631"/>
      <c r="H1839" s="833"/>
      <c r="I1839" s="834"/>
      <c r="J1839" s="834"/>
      <c r="K1839" s="835"/>
      <c r="L1839" s="835"/>
      <c r="M1839" s="835"/>
      <c r="N1839" s="835"/>
      <c r="O1839" s="835"/>
      <c r="P1839" s="835"/>
      <c r="Q1839" s="540"/>
      <c r="R1839" s="540"/>
      <c r="S1839" s="540"/>
      <c r="T1839" s="540"/>
      <c r="U1839" s="540"/>
      <c r="V1839" s="540"/>
      <c r="W1839" s="540"/>
      <c r="X1839" s="540"/>
      <c r="Y1839" s="540"/>
      <c r="Z1839" s="540"/>
    </row>
    <row r="1840" spans="1:26" ht="19">
      <c r="A1840" s="631"/>
      <c r="B1840" s="631"/>
      <c r="C1840" s="631"/>
      <c r="D1840" s="832"/>
      <c r="E1840" s="631"/>
      <c r="F1840" s="631"/>
      <c r="G1840" s="631"/>
      <c r="H1840" s="833"/>
      <c r="I1840" s="834"/>
      <c r="J1840" s="834"/>
      <c r="K1840" s="835"/>
      <c r="L1840" s="835"/>
      <c r="M1840" s="835"/>
      <c r="N1840" s="835"/>
      <c r="O1840" s="835"/>
      <c r="P1840" s="835"/>
      <c r="Q1840" s="540"/>
      <c r="R1840" s="540"/>
      <c r="S1840" s="540"/>
      <c r="T1840" s="540"/>
      <c r="U1840" s="540"/>
      <c r="V1840" s="540"/>
      <c r="W1840" s="540"/>
      <c r="X1840" s="540"/>
      <c r="Y1840" s="540"/>
      <c r="Z1840" s="540"/>
    </row>
    <row r="1841" spans="1:26" ht="19">
      <c r="A1841" s="631"/>
      <c r="B1841" s="631"/>
      <c r="C1841" s="631"/>
      <c r="D1841" s="832"/>
      <c r="E1841" s="631"/>
      <c r="F1841" s="631"/>
      <c r="G1841" s="631"/>
      <c r="H1841" s="833"/>
      <c r="I1841" s="834"/>
      <c r="J1841" s="834"/>
      <c r="K1841" s="835"/>
      <c r="L1841" s="835"/>
      <c r="M1841" s="835"/>
      <c r="N1841" s="835"/>
      <c r="O1841" s="835"/>
      <c r="P1841" s="835"/>
      <c r="Q1841" s="540"/>
      <c r="R1841" s="540"/>
      <c r="S1841" s="540"/>
      <c r="T1841" s="540"/>
      <c r="U1841" s="540"/>
      <c r="V1841" s="540"/>
      <c r="W1841" s="540"/>
      <c r="X1841" s="540"/>
      <c r="Y1841" s="540"/>
      <c r="Z1841" s="540"/>
    </row>
    <row r="1842" spans="1:26" ht="19">
      <c r="A1842" s="631"/>
      <c r="B1842" s="631"/>
      <c r="C1842" s="631"/>
      <c r="D1842" s="832"/>
      <c r="E1842" s="631"/>
      <c r="F1842" s="631"/>
      <c r="G1842" s="631"/>
      <c r="H1842" s="833"/>
      <c r="I1842" s="834"/>
      <c r="J1842" s="834"/>
      <c r="K1842" s="835"/>
      <c r="L1842" s="835"/>
      <c r="M1842" s="835"/>
      <c r="N1842" s="835"/>
      <c r="O1842" s="835"/>
      <c r="P1842" s="835"/>
      <c r="Q1842" s="540"/>
      <c r="R1842" s="540"/>
      <c r="S1842" s="540"/>
      <c r="T1842" s="540"/>
      <c r="U1842" s="540"/>
      <c r="V1842" s="540"/>
      <c r="W1842" s="540"/>
      <c r="X1842" s="540"/>
      <c r="Y1842" s="540"/>
      <c r="Z1842" s="540"/>
    </row>
    <row r="1843" spans="1:26" ht="19">
      <c r="A1843" s="631"/>
      <c r="B1843" s="631"/>
      <c r="C1843" s="631"/>
      <c r="D1843" s="832"/>
      <c r="E1843" s="631"/>
      <c r="F1843" s="631"/>
      <c r="G1843" s="631"/>
      <c r="H1843" s="833"/>
      <c r="I1843" s="834"/>
      <c r="J1843" s="834"/>
      <c r="K1843" s="835"/>
      <c r="L1843" s="835"/>
      <c r="M1843" s="835"/>
      <c r="N1843" s="835"/>
      <c r="O1843" s="835"/>
      <c r="P1843" s="835"/>
      <c r="Q1843" s="540"/>
      <c r="R1843" s="540"/>
      <c r="S1843" s="540"/>
      <c r="T1843" s="540"/>
      <c r="U1843" s="540"/>
      <c r="V1843" s="540"/>
      <c r="W1843" s="540"/>
      <c r="X1843" s="540"/>
      <c r="Y1843" s="540"/>
      <c r="Z1843" s="540"/>
    </row>
    <row r="1844" spans="1:26" ht="19">
      <c r="A1844" s="631"/>
      <c r="B1844" s="631"/>
      <c r="C1844" s="631"/>
      <c r="D1844" s="832"/>
      <c r="E1844" s="631"/>
      <c r="F1844" s="631"/>
      <c r="G1844" s="631"/>
      <c r="H1844" s="833"/>
      <c r="I1844" s="834"/>
      <c r="J1844" s="834"/>
      <c r="K1844" s="835"/>
      <c r="L1844" s="835"/>
      <c r="M1844" s="835"/>
      <c r="N1844" s="835"/>
      <c r="O1844" s="835"/>
      <c r="P1844" s="835"/>
      <c r="Q1844" s="540"/>
      <c r="R1844" s="540"/>
      <c r="S1844" s="540"/>
      <c r="T1844" s="540"/>
      <c r="U1844" s="540"/>
      <c r="V1844" s="540"/>
      <c r="W1844" s="540"/>
      <c r="X1844" s="540"/>
      <c r="Y1844" s="540"/>
      <c r="Z1844" s="540"/>
    </row>
    <row r="1845" spans="1:26" ht="19">
      <c r="A1845" s="631"/>
      <c r="B1845" s="631"/>
      <c r="C1845" s="631"/>
      <c r="D1845" s="832"/>
      <c r="E1845" s="631"/>
      <c r="F1845" s="631"/>
      <c r="G1845" s="631"/>
      <c r="H1845" s="833"/>
      <c r="I1845" s="834"/>
      <c r="J1845" s="834"/>
      <c r="K1845" s="835"/>
      <c r="L1845" s="835"/>
      <c r="M1845" s="835"/>
      <c r="N1845" s="835"/>
      <c r="O1845" s="835"/>
      <c r="P1845" s="835"/>
      <c r="Q1845" s="540"/>
      <c r="R1845" s="540"/>
      <c r="S1845" s="540"/>
      <c r="T1845" s="540"/>
      <c r="U1845" s="540"/>
      <c r="V1845" s="540"/>
      <c r="W1845" s="540"/>
      <c r="X1845" s="540"/>
      <c r="Y1845" s="540"/>
      <c r="Z1845" s="540"/>
    </row>
    <row r="1846" spans="1:26" ht="19">
      <c r="A1846" s="631"/>
      <c r="B1846" s="631"/>
      <c r="C1846" s="631"/>
      <c r="D1846" s="832"/>
      <c r="E1846" s="631"/>
      <c r="F1846" s="631"/>
      <c r="G1846" s="631"/>
      <c r="H1846" s="833"/>
      <c r="I1846" s="834"/>
      <c r="J1846" s="834"/>
      <c r="K1846" s="835"/>
      <c r="L1846" s="835"/>
      <c r="M1846" s="835"/>
      <c r="N1846" s="835"/>
      <c r="O1846" s="835"/>
      <c r="P1846" s="835"/>
      <c r="Q1846" s="540"/>
      <c r="R1846" s="540"/>
      <c r="S1846" s="540"/>
      <c r="T1846" s="540"/>
      <c r="U1846" s="540"/>
      <c r="V1846" s="540"/>
      <c r="W1846" s="540"/>
      <c r="X1846" s="540"/>
      <c r="Y1846" s="540"/>
      <c r="Z1846" s="540"/>
    </row>
    <row r="1847" spans="1:26" ht="19">
      <c r="A1847" s="631"/>
      <c r="B1847" s="631"/>
      <c r="C1847" s="631"/>
      <c r="D1847" s="832"/>
      <c r="E1847" s="631"/>
      <c r="F1847" s="631"/>
      <c r="G1847" s="631"/>
      <c r="H1847" s="833"/>
      <c r="I1847" s="834"/>
      <c r="J1847" s="834"/>
      <c r="K1847" s="835"/>
      <c r="L1847" s="835"/>
      <c r="M1847" s="835"/>
      <c r="N1847" s="835"/>
      <c r="O1847" s="835"/>
      <c r="P1847" s="835"/>
      <c r="Q1847" s="540"/>
      <c r="R1847" s="540"/>
      <c r="S1847" s="540"/>
      <c r="T1847" s="540"/>
      <c r="U1847" s="540"/>
      <c r="V1847" s="540"/>
      <c r="W1847" s="540"/>
      <c r="X1847" s="540"/>
      <c r="Y1847" s="540"/>
      <c r="Z1847" s="540"/>
    </row>
    <row r="1848" spans="1:26" ht="19">
      <c r="A1848" s="631"/>
      <c r="B1848" s="631"/>
      <c r="C1848" s="631"/>
      <c r="D1848" s="832"/>
      <c r="E1848" s="631"/>
      <c r="F1848" s="631"/>
      <c r="G1848" s="631"/>
      <c r="H1848" s="833"/>
      <c r="I1848" s="834"/>
      <c r="J1848" s="834"/>
      <c r="K1848" s="835"/>
      <c r="L1848" s="835"/>
      <c r="M1848" s="835"/>
      <c r="N1848" s="835"/>
      <c r="O1848" s="835"/>
      <c r="P1848" s="835"/>
      <c r="Q1848" s="540"/>
      <c r="R1848" s="540"/>
      <c r="S1848" s="540"/>
      <c r="T1848" s="540"/>
      <c r="U1848" s="540"/>
      <c r="V1848" s="540"/>
      <c r="W1848" s="540"/>
      <c r="X1848" s="540"/>
      <c r="Y1848" s="540"/>
      <c r="Z1848" s="540"/>
    </row>
    <row r="1849" spans="1:26" ht="19">
      <c r="A1849" s="631"/>
      <c r="B1849" s="631"/>
      <c r="C1849" s="631"/>
      <c r="D1849" s="832"/>
      <c r="E1849" s="631"/>
      <c r="F1849" s="631"/>
      <c r="G1849" s="631"/>
      <c r="H1849" s="833"/>
      <c r="I1849" s="834"/>
      <c r="J1849" s="834"/>
      <c r="K1849" s="835"/>
      <c r="L1849" s="835"/>
      <c r="M1849" s="835"/>
      <c r="N1849" s="835"/>
      <c r="O1849" s="835"/>
      <c r="P1849" s="835"/>
      <c r="Q1849" s="540"/>
      <c r="R1849" s="540"/>
      <c r="S1849" s="540"/>
      <c r="T1849" s="540"/>
      <c r="U1849" s="540"/>
      <c r="V1849" s="540"/>
      <c r="W1849" s="540"/>
      <c r="X1849" s="540"/>
      <c r="Y1849" s="540"/>
      <c r="Z1849" s="540"/>
    </row>
    <row r="1850" spans="1:26" ht="19">
      <c r="A1850" s="631"/>
      <c r="B1850" s="631"/>
      <c r="C1850" s="631"/>
      <c r="D1850" s="832"/>
      <c r="E1850" s="631"/>
      <c r="F1850" s="631"/>
      <c r="G1850" s="631"/>
      <c r="H1850" s="833"/>
      <c r="I1850" s="834"/>
      <c r="J1850" s="834"/>
      <c r="K1850" s="835"/>
      <c r="L1850" s="835"/>
      <c r="M1850" s="835"/>
      <c r="N1850" s="835"/>
      <c r="O1850" s="835"/>
      <c r="P1850" s="835"/>
      <c r="Q1850" s="540"/>
      <c r="R1850" s="540"/>
      <c r="S1850" s="540"/>
      <c r="T1850" s="540"/>
      <c r="U1850" s="540"/>
      <c r="V1850" s="540"/>
      <c r="W1850" s="540"/>
      <c r="X1850" s="540"/>
      <c r="Y1850" s="540"/>
      <c r="Z1850" s="540"/>
    </row>
    <row r="1851" spans="1:26" ht="19">
      <c r="A1851" s="631"/>
      <c r="B1851" s="631"/>
      <c r="C1851" s="631"/>
      <c r="D1851" s="832"/>
      <c r="E1851" s="631"/>
      <c r="F1851" s="631"/>
      <c r="G1851" s="631"/>
      <c r="H1851" s="833"/>
      <c r="I1851" s="834"/>
      <c r="J1851" s="834"/>
      <c r="K1851" s="835"/>
      <c r="L1851" s="835"/>
      <c r="M1851" s="835"/>
      <c r="N1851" s="835"/>
      <c r="O1851" s="835"/>
      <c r="P1851" s="835"/>
      <c r="Q1851" s="540"/>
      <c r="R1851" s="540"/>
      <c r="S1851" s="540"/>
      <c r="T1851" s="540"/>
      <c r="U1851" s="540"/>
      <c r="V1851" s="540"/>
      <c r="W1851" s="540"/>
      <c r="X1851" s="540"/>
      <c r="Y1851" s="540"/>
      <c r="Z1851" s="540"/>
    </row>
    <row r="1852" spans="1:26" ht="19">
      <c r="A1852" s="631"/>
      <c r="B1852" s="631"/>
      <c r="C1852" s="631"/>
      <c r="D1852" s="832"/>
      <c r="E1852" s="631"/>
      <c r="F1852" s="631"/>
      <c r="G1852" s="631"/>
      <c r="H1852" s="833"/>
      <c r="I1852" s="834"/>
      <c r="J1852" s="834"/>
      <c r="K1852" s="835"/>
      <c r="L1852" s="835"/>
      <c r="M1852" s="835"/>
      <c r="N1852" s="835"/>
      <c r="O1852" s="835"/>
      <c r="P1852" s="835"/>
      <c r="Q1852" s="540"/>
      <c r="R1852" s="540"/>
      <c r="S1852" s="540"/>
      <c r="T1852" s="540"/>
      <c r="U1852" s="540"/>
      <c r="V1852" s="540"/>
      <c r="W1852" s="540"/>
      <c r="X1852" s="540"/>
      <c r="Y1852" s="540"/>
      <c r="Z1852" s="540"/>
    </row>
    <row r="1853" spans="1:26" ht="19">
      <c r="A1853" s="631"/>
      <c r="B1853" s="631"/>
      <c r="C1853" s="631"/>
      <c r="D1853" s="832"/>
      <c r="E1853" s="631"/>
      <c r="F1853" s="631"/>
      <c r="G1853" s="631"/>
      <c r="H1853" s="833"/>
      <c r="I1853" s="834"/>
      <c r="J1853" s="834"/>
      <c r="K1853" s="835"/>
      <c r="L1853" s="835"/>
      <c r="M1853" s="835"/>
      <c r="N1853" s="835"/>
      <c r="O1853" s="835"/>
      <c r="P1853" s="835"/>
      <c r="Q1853" s="540"/>
      <c r="R1853" s="540"/>
      <c r="S1853" s="540"/>
      <c r="T1853" s="540"/>
      <c r="U1853" s="540"/>
      <c r="V1853" s="540"/>
      <c r="W1853" s="540"/>
      <c r="X1853" s="540"/>
      <c r="Y1853" s="540"/>
      <c r="Z1853" s="540"/>
    </row>
    <row r="1854" spans="1:26" ht="19">
      <c r="A1854" s="631"/>
      <c r="B1854" s="631"/>
      <c r="C1854" s="631"/>
      <c r="D1854" s="832"/>
      <c r="E1854" s="631"/>
      <c r="F1854" s="631"/>
      <c r="G1854" s="631"/>
      <c r="H1854" s="833"/>
      <c r="I1854" s="834"/>
      <c r="J1854" s="834"/>
      <c r="K1854" s="835"/>
      <c r="L1854" s="835"/>
      <c r="M1854" s="835"/>
      <c r="N1854" s="835"/>
      <c r="O1854" s="835"/>
      <c r="P1854" s="835"/>
      <c r="Q1854" s="540"/>
      <c r="R1854" s="540"/>
      <c r="S1854" s="540"/>
      <c r="T1854" s="540"/>
      <c r="U1854" s="540"/>
      <c r="V1854" s="540"/>
      <c r="W1854" s="540"/>
      <c r="X1854" s="540"/>
      <c r="Y1854" s="540"/>
      <c r="Z1854" s="540"/>
    </row>
    <row r="1855" spans="1:26" ht="19">
      <c r="A1855" s="631"/>
      <c r="B1855" s="631"/>
      <c r="C1855" s="631"/>
      <c r="D1855" s="832"/>
      <c r="E1855" s="631"/>
      <c r="F1855" s="631"/>
      <c r="G1855" s="631"/>
      <c r="H1855" s="833"/>
      <c r="I1855" s="834"/>
      <c r="J1855" s="834"/>
      <c r="K1855" s="835"/>
      <c r="L1855" s="835"/>
      <c r="M1855" s="835"/>
      <c r="N1855" s="835"/>
      <c r="O1855" s="835"/>
      <c r="P1855" s="835"/>
      <c r="Q1855" s="540"/>
      <c r="R1855" s="540"/>
      <c r="S1855" s="540"/>
      <c r="T1855" s="540"/>
      <c r="U1855" s="540"/>
      <c r="V1855" s="540"/>
      <c r="W1855" s="540"/>
      <c r="X1855" s="540"/>
      <c r="Y1855" s="540"/>
      <c r="Z1855" s="540"/>
    </row>
    <row r="1856" spans="1:26" ht="19">
      <c r="A1856" s="631"/>
      <c r="B1856" s="631"/>
      <c r="C1856" s="631"/>
      <c r="D1856" s="832"/>
      <c r="E1856" s="631"/>
      <c r="F1856" s="631"/>
      <c r="G1856" s="631"/>
      <c r="H1856" s="833"/>
      <c r="I1856" s="834"/>
      <c r="J1856" s="834"/>
      <c r="K1856" s="835"/>
      <c r="L1856" s="835"/>
      <c r="M1856" s="835"/>
      <c r="N1856" s="835"/>
      <c r="O1856" s="835"/>
      <c r="P1856" s="835"/>
      <c r="Q1856" s="540"/>
      <c r="R1856" s="540"/>
      <c r="S1856" s="540"/>
      <c r="T1856" s="540"/>
      <c r="U1856" s="540"/>
      <c r="V1856" s="540"/>
      <c r="W1856" s="540"/>
      <c r="X1856" s="540"/>
      <c r="Y1856" s="540"/>
      <c r="Z1856" s="540"/>
    </row>
    <row r="1857" spans="1:26" ht="19">
      <c r="A1857" s="631"/>
      <c r="B1857" s="631"/>
      <c r="C1857" s="631"/>
      <c r="D1857" s="832"/>
      <c r="E1857" s="631"/>
      <c r="F1857" s="631"/>
      <c r="G1857" s="631"/>
      <c r="H1857" s="833"/>
      <c r="I1857" s="834"/>
      <c r="J1857" s="834"/>
      <c r="K1857" s="835"/>
      <c r="L1857" s="835"/>
      <c r="M1857" s="835"/>
      <c r="N1857" s="835"/>
      <c r="O1857" s="835"/>
      <c r="P1857" s="835"/>
      <c r="Q1857" s="540"/>
      <c r="R1857" s="540"/>
      <c r="S1857" s="540"/>
      <c r="T1857" s="540"/>
      <c r="U1857" s="540"/>
      <c r="V1857" s="540"/>
      <c r="W1857" s="540"/>
      <c r="X1857" s="540"/>
      <c r="Y1857" s="540"/>
      <c r="Z1857" s="540"/>
    </row>
    <row r="1858" spans="1:26" ht="19">
      <c r="A1858" s="631"/>
      <c r="B1858" s="631"/>
      <c r="C1858" s="631"/>
      <c r="D1858" s="832"/>
      <c r="E1858" s="631"/>
      <c r="F1858" s="631"/>
      <c r="G1858" s="631"/>
      <c r="H1858" s="833"/>
      <c r="I1858" s="834"/>
      <c r="J1858" s="834"/>
      <c r="K1858" s="835"/>
      <c r="L1858" s="835"/>
      <c r="M1858" s="835"/>
      <c r="N1858" s="835"/>
      <c r="O1858" s="835"/>
      <c r="P1858" s="835"/>
      <c r="Q1858" s="540"/>
      <c r="R1858" s="540"/>
      <c r="S1858" s="540"/>
      <c r="T1858" s="540"/>
      <c r="U1858" s="540"/>
      <c r="V1858" s="540"/>
      <c r="W1858" s="540"/>
      <c r="X1858" s="540"/>
      <c r="Y1858" s="540"/>
      <c r="Z1858" s="540"/>
    </row>
    <row r="1859" spans="1:26" ht="19">
      <c r="A1859" s="631"/>
      <c r="B1859" s="631"/>
      <c r="C1859" s="631"/>
      <c r="D1859" s="832"/>
      <c r="E1859" s="631"/>
      <c r="F1859" s="631"/>
      <c r="G1859" s="631"/>
      <c r="H1859" s="833"/>
      <c r="I1859" s="834"/>
      <c r="J1859" s="834"/>
      <c r="K1859" s="835"/>
      <c r="L1859" s="835"/>
      <c r="M1859" s="835"/>
      <c r="N1859" s="835"/>
      <c r="O1859" s="835"/>
      <c r="P1859" s="835"/>
      <c r="Q1859" s="540"/>
      <c r="R1859" s="540"/>
      <c r="S1859" s="540"/>
      <c r="T1859" s="540"/>
      <c r="U1859" s="540"/>
      <c r="V1859" s="540"/>
      <c r="W1859" s="540"/>
      <c r="X1859" s="540"/>
      <c r="Y1859" s="540"/>
      <c r="Z1859" s="540"/>
    </row>
    <row r="1860" spans="1:26" ht="19">
      <c r="A1860" s="631"/>
      <c r="B1860" s="631"/>
      <c r="C1860" s="631"/>
      <c r="D1860" s="832"/>
      <c r="E1860" s="631"/>
      <c r="F1860" s="631"/>
      <c r="G1860" s="631"/>
      <c r="H1860" s="833"/>
      <c r="I1860" s="834"/>
      <c r="J1860" s="834"/>
      <c r="K1860" s="835"/>
      <c r="L1860" s="835"/>
      <c r="M1860" s="835"/>
      <c r="N1860" s="835"/>
      <c r="O1860" s="835"/>
      <c r="P1860" s="835"/>
      <c r="Q1860" s="540"/>
      <c r="R1860" s="540"/>
      <c r="S1860" s="540"/>
      <c r="T1860" s="540"/>
      <c r="U1860" s="540"/>
      <c r="V1860" s="540"/>
      <c r="W1860" s="540"/>
      <c r="X1860" s="540"/>
      <c r="Y1860" s="540"/>
      <c r="Z1860" s="540"/>
    </row>
    <row r="1861" spans="1:26" ht="19">
      <c r="A1861" s="631"/>
      <c r="B1861" s="631"/>
      <c r="C1861" s="631"/>
      <c r="D1861" s="832"/>
      <c r="E1861" s="631"/>
      <c r="F1861" s="631"/>
      <c r="G1861" s="631"/>
      <c r="H1861" s="833"/>
      <c r="I1861" s="834"/>
      <c r="J1861" s="834"/>
      <c r="K1861" s="835"/>
      <c r="L1861" s="835"/>
      <c r="M1861" s="835"/>
      <c r="N1861" s="835"/>
      <c r="O1861" s="835"/>
      <c r="P1861" s="835"/>
      <c r="Q1861" s="540"/>
      <c r="R1861" s="540"/>
      <c r="S1861" s="540"/>
      <c r="T1861" s="540"/>
      <c r="U1861" s="540"/>
      <c r="V1861" s="540"/>
      <c r="W1861" s="540"/>
      <c r="X1861" s="540"/>
      <c r="Y1861" s="540"/>
      <c r="Z1861" s="540"/>
    </row>
    <row r="1862" spans="1:26" ht="19">
      <c r="A1862" s="631"/>
      <c r="B1862" s="631"/>
      <c r="C1862" s="631"/>
      <c r="D1862" s="832"/>
      <c r="E1862" s="631"/>
      <c r="F1862" s="631"/>
      <c r="G1862" s="631"/>
      <c r="H1862" s="833"/>
      <c r="I1862" s="834"/>
      <c r="J1862" s="834"/>
      <c r="K1862" s="835"/>
      <c r="L1862" s="835"/>
      <c r="M1862" s="835"/>
      <c r="N1862" s="835"/>
      <c r="O1862" s="835"/>
      <c r="P1862" s="835"/>
      <c r="Q1862" s="540"/>
      <c r="R1862" s="540"/>
      <c r="S1862" s="540"/>
      <c r="T1862" s="540"/>
      <c r="U1862" s="540"/>
      <c r="V1862" s="540"/>
      <c r="W1862" s="540"/>
      <c r="X1862" s="540"/>
      <c r="Y1862" s="540"/>
      <c r="Z1862" s="540"/>
    </row>
    <row r="1863" spans="1:26" ht="19">
      <c r="A1863" s="631"/>
      <c r="B1863" s="631"/>
      <c r="C1863" s="631"/>
      <c r="D1863" s="832"/>
      <c r="E1863" s="631"/>
      <c r="F1863" s="631"/>
      <c r="G1863" s="631"/>
      <c r="H1863" s="833"/>
      <c r="I1863" s="834"/>
      <c r="J1863" s="834"/>
      <c r="K1863" s="835"/>
      <c r="L1863" s="835"/>
      <c r="M1863" s="835"/>
      <c r="N1863" s="835"/>
      <c r="O1863" s="835"/>
      <c r="P1863" s="835"/>
      <c r="Q1863" s="540"/>
      <c r="R1863" s="540"/>
      <c r="S1863" s="540"/>
      <c r="T1863" s="540"/>
      <c r="U1863" s="540"/>
      <c r="V1863" s="540"/>
      <c r="W1863" s="540"/>
      <c r="X1863" s="540"/>
      <c r="Y1863" s="540"/>
      <c r="Z1863" s="540"/>
    </row>
    <row r="1864" spans="1:26" ht="19">
      <c r="A1864" s="631"/>
      <c r="B1864" s="631"/>
      <c r="C1864" s="631"/>
      <c r="D1864" s="832"/>
      <c r="E1864" s="631"/>
      <c r="F1864" s="631"/>
      <c r="G1864" s="631"/>
      <c r="H1864" s="833"/>
      <c r="I1864" s="834"/>
      <c r="J1864" s="834"/>
      <c r="K1864" s="835"/>
      <c r="L1864" s="835"/>
      <c r="M1864" s="835"/>
      <c r="N1864" s="835"/>
      <c r="O1864" s="835"/>
      <c r="P1864" s="835"/>
      <c r="Q1864" s="540"/>
      <c r="R1864" s="540"/>
      <c r="S1864" s="540"/>
      <c r="T1864" s="540"/>
      <c r="U1864" s="540"/>
      <c r="V1864" s="540"/>
      <c r="W1864" s="540"/>
      <c r="X1864" s="540"/>
      <c r="Y1864" s="540"/>
      <c r="Z1864" s="540"/>
    </row>
    <row r="1865" spans="1:26" ht="19">
      <c r="A1865" s="631"/>
      <c r="B1865" s="631"/>
      <c r="C1865" s="631"/>
      <c r="D1865" s="832"/>
      <c r="E1865" s="631"/>
      <c r="F1865" s="631"/>
      <c r="G1865" s="631"/>
      <c r="H1865" s="833"/>
      <c r="I1865" s="834"/>
      <c r="J1865" s="834"/>
      <c r="K1865" s="835"/>
      <c r="L1865" s="835"/>
      <c r="M1865" s="835"/>
      <c r="N1865" s="835"/>
      <c r="O1865" s="835"/>
      <c r="P1865" s="835"/>
      <c r="Q1865" s="540"/>
      <c r="R1865" s="540"/>
      <c r="S1865" s="540"/>
      <c r="T1865" s="540"/>
      <c r="U1865" s="540"/>
      <c r="V1865" s="540"/>
      <c r="W1865" s="540"/>
      <c r="X1865" s="540"/>
      <c r="Y1865" s="540"/>
      <c r="Z1865" s="540"/>
    </row>
    <row r="1866" spans="1:26" ht="19">
      <c r="A1866" s="631"/>
      <c r="B1866" s="631"/>
      <c r="C1866" s="631"/>
      <c r="D1866" s="832"/>
      <c r="E1866" s="631"/>
      <c r="F1866" s="631"/>
      <c r="G1866" s="631"/>
      <c r="H1866" s="833"/>
      <c r="I1866" s="834"/>
      <c r="J1866" s="834"/>
      <c r="K1866" s="835"/>
      <c r="L1866" s="835"/>
      <c r="M1866" s="835"/>
      <c r="N1866" s="835"/>
      <c r="O1866" s="835"/>
      <c r="P1866" s="835"/>
      <c r="Q1866" s="540"/>
      <c r="R1866" s="540"/>
      <c r="S1866" s="540"/>
      <c r="T1866" s="540"/>
      <c r="U1866" s="540"/>
      <c r="V1866" s="540"/>
      <c r="W1866" s="540"/>
      <c r="X1866" s="540"/>
      <c r="Y1866" s="540"/>
      <c r="Z1866" s="540"/>
    </row>
    <row r="1867" spans="1:26" ht="19">
      <c r="A1867" s="631"/>
      <c r="B1867" s="631"/>
      <c r="C1867" s="631"/>
      <c r="D1867" s="832"/>
      <c r="E1867" s="631"/>
      <c r="F1867" s="631"/>
      <c r="G1867" s="631"/>
      <c r="H1867" s="833"/>
      <c r="I1867" s="834"/>
      <c r="J1867" s="834"/>
      <c r="K1867" s="835"/>
      <c r="L1867" s="835"/>
      <c r="M1867" s="835"/>
      <c r="N1867" s="835"/>
      <c r="O1867" s="835"/>
      <c r="P1867" s="835"/>
      <c r="Q1867" s="540"/>
      <c r="R1867" s="540"/>
      <c r="S1867" s="540"/>
      <c r="T1867" s="540"/>
      <c r="U1867" s="540"/>
      <c r="V1867" s="540"/>
      <c r="W1867" s="540"/>
      <c r="X1867" s="540"/>
      <c r="Y1867" s="540"/>
      <c r="Z1867" s="540"/>
    </row>
    <row r="1868" spans="1:26" ht="19">
      <c r="A1868" s="631"/>
      <c r="B1868" s="631"/>
      <c r="C1868" s="631"/>
      <c r="D1868" s="832"/>
      <c r="E1868" s="631"/>
      <c r="F1868" s="631"/>
      <c r="G1868" s="631"/>
      <c r="H1868" s="833"/>
      <c r="I1868" s="834"/>
      <c r="J1868" s="834"/>
      <c r="K1868" s="835"/>
      <c r="L1868" s="835"/>
      <c r="M1868" s="835"/>
      <c r="N1868" s="835"/>
      <c r="O1868" s="835"/>
      <c r="P1868" s="835"/>
      <c r="Q1868" s="540"/>
      <c r="R1868" s="540"/>
      <c r="S1868" s="540"/>
      <c r="T1868" s="540"/>
      <c r="U1868" s="540"/>
      <c r="V1868" s="540"/>
      <c r="W1868" s="540"/>
      <c r="X1868" s="540"/>
      <c r="Y1868" s="540"/>
      <c r="Z1868" s="540"/>
    </row>
    <row r="1869" spans="1:26" ht="19">
      <c r="A1869" s="631"/>
      <c r="B1869" s="631"/>
      <c r="C1869" s="631"/>
      <c r="D1869" s="832"/>
      <c r="E1869" s="631"/>
      <c r="F1869" s="631"/>
      <c r="G1869" s="631"/>
      <c r="H1869" s="833"/>
      <c r="I1869" s="834"/>
      <c r="J1869" s="834"/>
      <c r="K1869" s="835"/>
      <c r="L1869" s="835"/>
      <c r="M1869" s="835"/>
      <c r="N1869" s="835"/>
      <c r="O1869" s="835"/>
      <c r="P1869" s="835"/>
      <c r="Q1869" s="540"/>
      <c r="R1869" s="540"/>
      <c r="S1869" s="540"/>
      <c r="T1869" s="540"/>
      <c r="U1869" s="540"/>
      <c r="V1869" s="540"/>
      <c r="W1869" s="540"/>
      <c r="X1869" s="540"/>
      <c r="Y1869" s="540"/>
      <c r="Z1869" s="540"/>
    </row>
    <row r="1870" spans="1:26" ht="19">
      <c r="A1870" s="631"/>
      <c r="B1870" s="631"/>
      <c r="C1870" s="631"/>
      <c r="D1870" s="832"/>
      <c r="E1870" s="631"/>
      <c r="F1870" s="631"/>
      <c r="G1870" s="631"/>
      <c r="H1870" s="833"/>
      <c r="I1870" s="834"/>
      <c r="J1870" s="834"/>
      <c r="K1870" s="835"/>
      <c r="L1870" s="835"/>
      <c r="M1870" s="835"/>
      <c r="N1870" s="835"/>
      <c r="O1870" s="835"/>
      <c r="P1870" s="835"/>
      <c r="Q1870" s="540"/>
      <c r="R1870" s="540"/>
      <c r="S1870" s="540"/>
      <c r="T1870" s="540"/>
      <c r="U1870" s="540"/>
      <c r="V1870" s="540"/>
      <c r="W1870" s="540"/>
      <c r="X1870" s="540"/>
      <c r="Y1870" s="540"/>
      <c r="Z1870" s="540"/>
    </row>
    <row r="1871" spans="1:26" ht="19">
      <c r="A1871" s="631"/>
      <c r="B1871" s="631"/>
      <c r="C1871" s="631"/>
      <c r="D1871" s="832"/>
      <c r="E1871" s="631"/>
      <c r="F1871" s="631"/>
      <c r="G1871" s="631"/>
      <c r="H1871" s="833"/>
      <c r="I1871" s="834"/>
      <c r="J1871" s="834"/>
      <c r="K1871" s="835"/>
      <c r="L1871" s="835"/>
      <c r="M1871" s="835"/>
      <c r="N1871" s="835"/>
      <c r="O1871" s="835"/>
      <c r="P1871" s="835"/>
      <c r="Q1871" s="540"/>
      <c r="R1871" s="540"/>
      <c r="S1871" s="540"/>
      <c r="T1871" s="540"/>
      <c r="U1871" s="540"/>
      <c r="V1871" s="540"/>
      <c r="W1871" s="540"/>
      <c r="X1871" s="540"/>
      <c r="Y1871" s="540"/>
      <c r="Z1871" s="540"/>
    </row>
    <row r="1872" spans="1:26" ht="19">
      <c r="A1872" s="631"/>
      <c r="B1872" s="631"/>
      <c r="C1872" s="631"/>
      <c r="D1872" s="832"/>
      <c r="E1872" s="631"/>
      <c r="F1872" s="631"/>
      <c r="G1872" s="631"/>
      <c r="H1872" s="833"/>
      <c r="I1872" s="834"/>
      <c r="J1872" s="834"/>
      <c r="K1872" s="835"/>
      <c r="L1872" s="835"/>
      <c r="M1872" s="835"/>
      <c r="N1872" s="835"/>
      <c r="O1872" s="835"/>
      <c r="P1872" s="835"/>
      <c r="Q1872" s="540"/>
      <c r="R1872" s="540"/>
      <c r="S1872" s="540"/>
      <c r="T1872" s="540"/>
      <c r="U1872" s="540"/>
      <c r="V1872" s="540"/>
      <c r="W1872" s="540"/>
      <c r="X1872" s="540"/>
      <c r="Y1872" s="540"/>
      <c r="Z1872" s="540"/>
    </row>
    <row r="1873" spans="1:26" ht="19">
      <c r="A1873" s="631"/>
      <c r="B1873" s="631"/>
      <c r="C1873" s="631"/>
      <c r="D1873" s="832"/>
      <c r="E1873" s="631"/>
      <c r="F1873" s="631"/>
      <c r="G1873" s="631"/>
      <c r="H1873" s="833"/>
      <c r="I1873" s="834"/>
      <c r="J1873" s="834"/>
      <c r="K1873" s="835"/>
      <c r="L1873" s="835"/>
      <c r="M1873" s="835"/>
      <c r="N1873" s="835"/>
      <c r="O1873" s="835"/>
      <c r="P1873" s="835"/>
      <c r="Q1873" s="540"/>
      <c r="R1873" s="540"/>
      <c r="S1873" s="540"/>
      <c r="T1873" s="540"/>
      <c r="U1873" s="540"/>
      <c r="V1873" s="540"/>
      <c r="W1873" s="540"/>
      <c r="X1873" s="540"/>
      <c r="Y1873" s="540"/>
      <c r="Z1873" s="540"/>
    </row>
    <row r="1874" spans="1:26" ht="19">
      <c r="A1874" s="631"/>
      <c r="B1874" s="631"/>
      <c r="C1874" s="631"/>
      <c r="D1874" s="832"/>
      <c r="E1874" s="631"/>
      <c r="F1874" s="631"/>
      <c r="G1874" s="631"/>
      <c r="H1874" s="833"/>
      <c r="I1874" s="834"/>
      <c r="J1874" s="834"/>
      <c r="K1874" s="835"/>
      <c r="L1874" s="835"/>
      <c r="M1874" s="835"/>
      <c r="N1874" s="835"/>
      <c r="O1874" s="835"/>
      <c r="P1874" s="835"/>
      <c r="Q1874" s="540"/>
      <c r="R1874" s="540"/>
      <c r="S1874" s="540"/>
      <c r="T1874" s="540"/>
      <c r="U1874" s="540"/>
      <c r="V1874" s="540"/>
      <c r="W1874" s="540"/>
      <c r="X1874" s="540"/>
      <c r="Y1874" s="540"/>
      <c r="Z1874" s="540"/>
    </row>
    <row r="1875" spans="1:26" ht="19">
      <c r="A1875" s="631"/>
      <c r="B1875" s="631"/>
      <c r="C1875" s="631"/>
      <c r="D1875" s="832"/>
      <c r="E1875" s="631"/>
      <c r="F1875" s="631"/>
      <c r="G1875" s="631"/>
      <c r="H1875" s="833"/>
      <c r="I1875" s="834"/>
      <c r="J1875" s="834"/>
      <c r="K1875" s="835"/>
      <c r="L1875" s="835"/>
      <c r="M1875" s="835"/>
      <c r="N1875" s="835"/>
      <c r="O1875" s="835"/>
      <c r="P1875" s="835"/>
      <c r="Q1875" s="540"/>
      <c r="R1875" s="540"/>
      <c r="S1875" s="540"/>
      <c r="T1875" s="540"/>
      <c r="U1875" s="540"/>
      <c r="V1875" s="540"/>
      <c r="W1875" s="540"/>
      <c r="X1875" s="540"/>
      <c r="Y1875" s="540"/>
      <c r="Z1875" s="540"/>
    </row>
    <row r="1876" spans="1:26" ht="19">
      <c r="A1876" s="631"/>
      <c r="B1876" s="631"/>
      <c r="C1876" s="631"/>
      <c r="D1876" s="832"/>
      <c r="E1876" s="631"/>
      <c r="F1876" s="631"/>
      <c r="G1876" s="631"/>
      <c r="H1876" s="833"/>
      <c r="I1876" s="834"/>
      <c r="J1876" s="834"/>
      <c r="K1876" s="835"/>
      <c r="L1876" s="835"/>
      <c r="M1876" s="835"/>
      <c r="N1876" s="835"/>
      <c r="O1876" s="835"/>
      <c r="P1876" s="835"/>
      <c r="Q1876" s="540"/>
      <c r="R1876" s="540"/>
      <c r="S1876" s="540"/>
      <c r="T1876" s="540"/>
      <c r="U1876" s="540"/>
      <c r="V1876" s="540"/>
      <c r="W1876" s="540"/>
      <c r="X1876" s="540"/>
      <c r="Y1876" s="540"/>
      <c r="Z1876" s="540"/>
    </row>
    <row r="1877" spans="1:26" ht="19">
      <c r="A1877" s="631"/>
      <c r="B1877" s="631"/>
      <c r="C1877" s="631"/>
      <c r="D1877" s="832"/>
      <c r="E1877" s="631"/>
      <c r="F1877" s="631"/>
      <c r="G1877" s="631"/>
      <c r="H1877" s="833"/>
      <c r="I1877" s="834"/>
      <c r="J1877" s="834"/>
      <c r="K1877" s="835"/>
      <c r="L1877" s="835"/>
      <c r="M1877" s="835"/>
      <c r="N1877" s="835"/>
      <c r="O1877" s="835"/>
      <c r="P1877" s="835"/>
      <c r="Q1877" s="540"/>
      <c r="R1877" s="540"/>
      <c r="S1877" s="540"/>
      <c r="T1877" s="540"/>
      <c r="U1877" s="540"/>
      <c r="V1877" s="540"/>
      <c r="W1877" s="540"/>
      <c r="X1877" s="540"/>
      <c r="Y1877" s="540"/>
      <c r="Z1877" s="540"/>
    </row>
    <row r="1878" spans="1:26" ht="19">
      <c r="A1878" s="631"/>
      <c r="B1878" s="631"/>
      <c r="C1878" s="631"/>
      <c r="D1878" s="832"/>
      <c r="E1878" s="631"/>
      <c r="F1878" s="631"/>
      <c r="G1878" s="631"/>
      <c r="H1878" s="833"/>
      <c r="I1878" s="834"/>
      <c r="J1878" s="834"/>
      <c r="K1878" s="835"/>
      <c r="L1878" s="835"/>
      <c r="M1878" s="835"/>
      <c r="N1878" s="835"/>
      <c r="O1878" s="835"/>
      <c r="P1878" s="835"/>
      <c r="Q1878" s="540"/>
      <c r="R1878" s="540"/>
      <c r="S1878" s="540"/>
      <c r="T1878" s="540"/>
      <c r="U1878" s="540"/>
      <c r="V1878" s="540"/>
      <c r="W1878" s="540"/>
      <c r="X1878" s="540"/>
      <c r="Y1878" s="540"/>
      <c r="Z1878" s="540"/>
    </row>
    <row r="1879" spans="1:26" ht="19">
      <c r="A1879" s="631"/>
      <c r="B1879" s="631"/>
      <c r="C1879" s="631"/>
      <c r="D1879" s="832"/>
      <c r="E1879" s="631"/>
      <c r="F1879" s="631"/>
      <c r="G1879" s="631"/>
      <c r="H1879" s="833"/>
      <c r="I1879" s="834"/>
      <c r="J1879" s="834"/>
      <c r="K1879" s="835"/>
      <c r="L1879" s="835"/>
      <c r="M1879" s="835"/>
      <c r="N1879" s="835"/>
      <c r="O1879" s="835"/>
      <c r="P1879" s="835"/>
      <c r="Q1879" s="540"/>
      <c r="R1879" s="540"/>
      <c r="S1879" s="540"/>
      <c r="T1879" s="540"/>
      <c r="U1879" s="540"/>
      <c r="V1879" s="540"/>
      <c r="W1879" s="540"/>
      <c r="X1879" s="540"/>
      <c r="Y1879" s="540"/>
      <c r="Z1879" s="540"/>
    </row>
    <row r="1880" spans="1:26" ht="19">
      <c r="A1880" s="631"/>
      <c r="B1880" s="631"/>
      <c r="C1880" s="631"/>
      <c r="D1880" s="832"/>
      <c r="E1880" s="631"/>
      <c r="F1880" s="631"/>
      <c r="G1880" s="631"/>
      <c r="H1880" s="833"/>
      <c r="I1880" s="834"/>
      <c r="J1880" s="834"/>
      <c r="K1880" s="835"/>
      <c r="L1880" s="835"/>
      <c r="M1880" s="835"/>
      <c r="N1880" s="835"/>
      <c r="O1880" s="835"/>
      <c r="P1880" s="835"/>
      <c r="Q1880" s="540"/>
      <c r="R1880" s="540"/>
      <c r="S1880" s="540"/>
      <c r="T1880" s="540"/>
      <c r="U1880" s="540"/>
      <c r="V1880" s="540"/>
      <c r="W1880" s="540"/>
      <c r="X1880" s="540"/>
      <c r="Y1880" s="540"/>
      <c r="Z1880" s="540"/>
    </row>
    <row r="1881" spans="1:26" ht="19">
      <c r="A1881" s="631"/>
      <c r="B1881" s="631"/>
      <c r="C1881" s="631"/>
      <c r="D1881" s="832"/>
      <c r="E1881" s="631"/>
      <c r="F1881" s="631"/>
      <c r="G1881" s="631"/>
      <c r="H1881" s="833"/>
      <c r="I1881" s="834"/>
      <c r="J1881" s="834"/>
      <c r="K1881" s="835"/>
      <c r="L1881" s="835"/>
      <c r="M1881" s="835"/>
      <c r="N1881" s="835"/>
      <c r="O1881" s="835"/>
      <c r="P1881" s="835"/>
      <c r="Q1881" s="540"/>
      <c r="R1881" s="540"/>
      <c r="S1881" s="540"/>
      <c r="T1881" s="540"/>
      <c r="U1881" s="540"/>
      <c r="V1881" s="540"/>
      <c r="W1881" s="540"/>
      <c r="X1881" s="540"/>
      <c r="Y1881" s="540"/>
      <c r="Z1881" s="540"/>
    </row>
    <row r="1882" spans="1:26" ht="19">
      <c r="A1882" s="631"/>
      <c r="B1882" s="631"/>
      <c r="C1882" s="631"/>
      <c r="D1882" s="832"/>
      <c r="E1882" s="631"/>
      <c r="F1882" s="631"/>
      <c r="G1882" s="631"/>
      <c r="H1882" s="833"/>
      <c r="I1882" s="834"/>
      <c r="J1882" s="834"/>
      <c r="K1882" s="835"/>
      <c r="L1882" s="835"/>
      <c r="M1882" s="835"/>
      <c r="N1882" s="835"/>
      <c r="O1882" s="835"/>
      <c r="P1882" s="835"/>
      <c r="Q1882" s="540"/>
      <c r="R1882" s="540"/>
      <c r="S1882" s="540"/>
      <c r="T1882" s="540"/>
      <c r="U1882" s="540"/>
      <c r="V1882" s="540"/>
      <c r="W1882" s="540"/>
      <c r="X1882" s="540"/>
      <c r="Y1882" s="540"/>
      <c r="Z1882" s="540"/>
    </row>
    <row r="1883" spans="1:26" ht="19">
      <c r="A1883" s="631"/>
      <c r="B1883" s="631"/>
      <c r="C1883" s="631"/>
      <c r="D1883" s="832"/>
      <c r="E1883" s="631"/>
      <c r="F1883" s="631"/>
      <c r="G1883" s="631"/>
      <c r="H1883" s="833"/>
      <c r="I1883" s="834"/>
      <c r="J1883" s="834"/>
      <c r="K1883" s="835"/>
      <c r="L1883" s="835"/>
      <c r="M1883" s="835"/>
      <c r="N1883" s="835"/>
      <c r="O1883" s="835"/>
      <c r="P1883" s="835"/>
      <c r="Q1883" s="540"/>
      <c r="R1883" s="540"/>
      <c r="S1883" s="540"/>
      <c r="T1883" s="540"/>
      <c r="U1883" s="540"/>
      <c r="V1883" s="540"/>
      <c r="W1883" s="540"/>
      <c r="X1883" s="540"/>
      <c r="Y1883" s="540"/>
      <c r="Z1883" s="540"/>
    </row>
    <row r="1884" spans="1:26" ht="19">
      <c r="A1884" s="631"/>
      <c r="B1884" s="631"/>
      <c r="C1884" s="631"/>
      <c r="D1884" s="832"/>
      <c r="E1884" s="631"/>
      <c r="F1884" s="631"/>
      <c r="G1884" s="631"/>
      <c r="H1884" s="833"/>
      <c r="I1884" s="834"/>
      <c r="J1884" s="834"/>
      <c r="K1884" s="835"/>
      <c r="L1884" s="835"/>
      <c r="M1884" s="835"/>
      <c r="N1884" s="835"/>
      <c r="O1884" s="835"/>
      <c r="P1884" s="835"/>
      <c r="Q1884" s="540"/>
      <c r="R1884" s="540"/>
      <c r="S1884" s="540"/>
      <c r="T1884" s="540"/>
      <c r="U1884" s="540"/>
      <c r="V1884" s="540"/>
      <c r="W1884" s="540"/>
      <c r="X1884" s="540"/>
      <c r="Y1884" s="540"/>
      <c r="Z1884" s="540"/>
    </row>
    <row r="1885" spans="1:26" ht="19">
      <c r="A1885" s="631"/>
      <c r="B1885" s="631"/>
      <c r="C1885" s="631"/>
      <c r="D1885" s="832"/>
      <c r="E1885" s="631"/>
      <c r="F1885" s="631"/>
      <c r="G1885" s="631"/>
      <c r="H1885" s="833"/>
      <c r="I1885" s="834"/>
      <c r="J1885" s="834"/>
      <c r="K1885" s="835"/>
      <c r="L1885" s="835"/>
      <c r="M1885" s="835"/>
      <c r="N1885" s="835"/>
      <c r="O1885" s="835"/>
      <c r="P1885" s="835"/>
      <c r="Q1885" s="540"/>
      <c r="R1885" s="540"/>
      <c r="S1885" s="540"/>
      <c r="T1885" s="540"/>
      <c r="U1885" s="540"/>
      <c r="V1885" s="540"/>
      <c r="W1885" s="540"/>
      <c r="X1885" s="540"/>
      <c r="Y1885" s="540"/>
      <c r="Z1885" s="540"/>
    </row>
    <row r="1886" spans="1:26" ht="19">
      <c r="A1886" s="631"/>
      <c r="B1886" s="631"/>
      <c r="C1886" s="631"/>
      <c r="D1886" s="832"/>
      <c r="E1886" s="631"/>
      <c r="F1886" s="631"/>
      <c r="G1886" s="631"/>
      <c r="H1886" s="833"/>
      <c r="I1886" s="834"/>
      <c r="J1886" s="834"/>
      <c r="K1886" s="835"/>
      <c r="L1886" s="835"/>
      <c r="M1886" s="835"/>
      <c r="N1886" s="835"/>
      <c r="O1886" s="835"/>
      <c r="P1886" s="835"/>
      <c r="Q1886" s="540"/>
      <c r="R1886" s="540"/>
      <c r="S1886" s="540"/>
      <c r="T1886" s="540"/>
      <c r="U1886" s="540"/>
      <c r="V1886" s="540"/>
      <c r="W1886" s="540"/>
      <c r="X1886" s="540"/>
      <c r="Y1886" s="540"/>
      <c r="Z1886" s="540"/>
    </row>
    <row r="1887" spans="1:26" ht="19">
      <c r="A1887" s="631"/>
      <c r="B1887" s="631"/>
      <c r="C1887" s="631"/>
      <c r="D1887" s="832"/>
      <c r="E1887" s="631"/>
      <c r="F1887" s="631"/>
      <c r="G1887" s="631"/>
      <c r="H1887" s="833"/>
      <c r="I1887" s="834"/>
      <c r="J1887" s="834"/>
      <c r="K1887" s="835"/>
      <c r="L1887" s="835"/>
      <c r="M1887" s="835"/>
      <c r="N1887" s="835"/>
      <c r="O1887" s="835"/>
      <c r="P1887" s="835"/>
      <c r="Q1887" s="540"/>
      <c r="R1887" s="540"/>
      <c r="S1887" s="540"/>
      <c r="T1887" s="540"/>
      <c r="U1887" s="540"/>
      <c r="V1887" s="540"/>
      <c r="W1887" s="540"/>
      <c r="X1887" s="540"/>
      <c r="Y1887" s="540"/>
      <c r="Z1887" s="540"/>
    </row>
    <row r="1888" spans="1:26" ht="19">
      <c r="A1888" s="631"/>
      <c r="B1888" s="631"/>
      <c r="C1888" s="631"/>
      <c r="D1888" s="832"/>
      <c r="E1888" s="631"/>
      <c r="F1888" s="631"/>
      <c r="G1888" s="631"/>
      <c r="H1888" s="833"/>
      <c r="I1888" s="834"/>
      <c r="J1888" s="834"/>
      <c r="K1888" s="835"/>
      <c r="L1888" s="835"/>
      <c r="M1888" s="835"/>
      <c r="N1888" s="835"/>
      <c r="O1888" s="835"/>
      <c r="P1888" s="835"/>
      <c r="Q1888" s="540"/>
      <c r="R1888" s="540"/>
      <c r="S1888" s="540"/>
      <c r="T1888" s="540"/>
      <c r="U1888" s="540"/>
      <c r="V1888" s="540"/>
      <c r="W1888" s="540"/>
      <c r="X1888" s="540"/>
      <c r="Y1888" s="540"/>
      <c r="Z1888" s="540"/>
    </row>
    <row r="1889" spans="1:26" ht="19">
      <c r="A1889" s="631"/>
      <c r="B1889" s="631"/>
      <c r="C1889" s="631"/>
      <c r="D1889" s="832"/>
      <c r="E1889" s="631"/>
      <c r="F1889" s="631"/>
      <c r="G1889" s="631"/>
      <c r="H1889" s="833"/>
      <c r="I1889" s="834"/>
      <c r="J1889" s="834"/>
      <c r="K1889" s="835"/>
      <c r="L1889" s="835"/>
      <c r="M1889" s="835"/>
      <c r="N1889" s="835"/>
      <c r="O1889" s="835"/>
      <c r="P1889" s="835"/>
      <c r="Q1889" s="540"/>
      <c r="R1889" s="540"/>
      <c r="S1889" s="540"/>
      <c r="T1889" s="540"/>
      <c r="U1889" s="540"/>
      <c r="V1889" s="540"/>
      <c r="W1889" s="540"/>
      <c r="X1889" s="540"/>
      <c r="Y1889" s="540"/>
      <c r="Z1889" s="540"/>
    </row>
    <row r="1890" spans="1:26" ht="19">
      <c r="A1890" s="631"/>
      <c r="B1890" s="631"/>
      <c r="C1890" s="631"/>
      <c r="D1890" s="832"/>
      <c r="E1890" s="631"/>
      <c r="F1890" s="631"/>
      <c r="G1890" s="631"/>
      <c r="H1890" s="833"/>
      <c r="I1890" s="834"/>
      <c r="J1890" s="834"/>
      <c r="K1890" s="835"/>
      <c r="L1890" s="835"/>
      <c r="M1890" s="835"/>
      <c r="N1890" s="835"/>
      <c r="O1890" s="835"/>
      <c r="P1890" s="835"/>
      <c r="Q1890" s="540"/>
      <c r="R1890" s="540"/>
      <c r="S1890" s="540"/>
      <c r="T1890" s="540"/>
      <c r="U1890" s="540"/>
      <c r="V1890" s="540"/>
      <c r="W1890" s="540"/>
      <c r="X1890" s="540"/>
      <c r="Y1890" s="540"/>
      <c r="Z1890" s="540"/>
    </row>
    <row r="1891" spans="1:26" ht="19">
      <c r="A1891" s="631"/>
      <c r="B1891" s="631"/>
      <c r="C1891" s="631"/>
      <c r="D1891" s="832"/>
      <c r="E1891" s="631"/>
      <c r="F1891" s="631"/>
      <c r="G1891" s="631"/>
      <c r="H1891" s="833"/>
      <c r="I1891" s="834"/>
      <c r="J1891" s="834"/>
      <c r="K1891" s="835"/>
      <c r="L1891" s="835"/>
      <c r="M1891" s="835"/>
      <c r="N1891" s="835"/>
      <c r="O1891" s="835"/>
      <c r="P1891" s="835"/>
      <c r="Q1891" s="540"/>
      <c r="R1891" s="540"/>
      <c r="S1891" s="540"/>
      <c r="T1891" s="540"/>
      <c r="U1891" s="540"/>
      <c r="V1891" s="540"/>
      <c r="W1891" s="540"/>
      <c r="X1891" s="540"/>
      <c r="Y1891" s="540"/>
      <c r="Z1891" s="540"/>
    </row>
    <row r="1892" spans="1:26" ht="19">
      <c r="A1892" s="631"/>
      <c r="B1892" s="631"/>
      <c r="C1892" s="631"/>
      <c r="D1892" s="832"/>
      <c r="E1892" s="631"/>
      <c r="F1892" s="631"/>
      <c r="G1892" s="631"/>
      <c r="H1892" s="833"/>
      <c r="I1892" s="834"/>
      <c r="J1892" s="834"/>
      <c r="K1892" s="835"/>
      <c r="L1892" s="835"/>
      <c r="M1892" s="835"/>
      <c r="N1892" s="835"/>
      <c r="O1892" s="835"/>
      <c r="P1892" s="835"/>
      <c r="Q1892" s="540"/>
      <c r="R1892" s="540"/>
      <c r="S1892" s="540"/>
      <c r="T1892" s="540"/>
      <c r="U1892" s="540"/>
      <c r="V1892" s="540"/>
      <c r="W1892" s="540"/>
      <c r="X1892" s="540"/>
      <c r="Y1892" s="540"/>
      <c r="Z1892" s="540"/>
    </row>
    <row r="1893" spans="1:26" ht="19">
      <c r="A1893" s="631"/>
      <c r="B1893" s="631"/>
      <c r="C1893" s="631"/>
      <c r="D1893" s="832"/>
      <c r="E1893" s="631"/>
      <c r="F1893" s="631"/>
      <c r="G1893" s="631"/>
      <c r="H1893" s="833"/>
      <c r="I1893" s="834"/>
      <c r="J1893" s="834"/>
      <c r="K1893" s="835"/>
      <c r="L1893" s="835"/>
      <c r="M1893" s="835"/>
      <c r="N1893" s="835"/>
      <c r="O1893" s="835"/>
      <c r="P1893" s="835"/>
      <c r="Q1893" s="540"/>
      <c r="R1893" s="540"/>
      <c r="S1893" s="540"/>
      <c r="T1893" s="540"/>
      <c r="U1893" s="540"/>
      <c r="V1893" s="540"/>
      <c r="W1893" s="540"/>
      <c r="X1893" s="540"/>
      <c r="Y1893" s="540"/>
      <c r="Z1893" s="540"/>
    </row>
    <row r="1894" spans="1:26" ht="19">
      <c r="A1894" s="631"/>
      <c r="B1894" s="631"/>
      <c r="C1894" s="631"/>
      <c r="D1894" s="832"/>
      <c r="E1894" s="631"/>
      <c r="F1894" s="631"/>
      <c r="G1894" s="631"/>
      <c r="H1894" s="833"/>
      <c r="I1894" s="834"/>
      <c r="J1894" s="834"/>
      <c r="K1894" s="835"/>
      <c r="L1894" s="835"/>
      <c r="M1894" s="835"/>
      <c r="N1894" s="835"/>
      <c r="O1894" s="835"/>
      <c r="P1894" s="835"/>
      <c r="Q1894" s="540"/>
      <c r="R1894" s="540"/>
      <c r="S1894" s="540"/>
      <c r="T1894" s="540"/>
      <c r="U1894" s="540"/>
      <c r="V1894" s="540"/>
      <c r="W1894" s="540"/>
      <c r="X1894" s="540"/>
      <c r="Y1894" s="540"/>
      <c r="Z1894" s="540"/>
    </row>
    <row r="1895" spans="1:26" ht="19">
      <c r="A1895" s="631"/>
      <c r="B1895" s="631"/>
      <c r="C1895" s="631"/>
      <c r="D1895" s="832"/>
      <c r="E1895" s="631"/>
      <c r="F1895" s="631"/>
      <c r="G1895" s="631"/>
      <c r="H1895" s="833"/>
      <c r="I1895" s="834"/>
      <c r="J1895" s="834"/>
      <c r="K1895" s="835"/>
      <c r="L1895" s="835"/>
      <c r="M1895" s="835"/>
      <c r="N1895" s="835"/>
      <c r="O1895" s="835"/>
      <c r="P1895" s="835"/>
      <c r="Q1895" s="540"/>
      <c r="R1895" s="540"/>
      <c r="S1895" s="540"/>
      <c r="T1895" s="540"/>
      <c r="U1895" s="540"/>
      <c r="V1895" s="540"/>
      <c r="W1895" s="540"/>
      <c r="X1895" s="540"/>
      <c r="Y1895" s="540"/>
      <c r="Z1895" s="540"/>
    </row>
    <row r="1896" spans="1:26" ht="19">
      <c r="A1896" s="631"/>
      <c r="B1896" s="631"/>
      <c r="C1896" s="631"/>
      <c r="D1896" s="832"/>
      <c r="E1896" s="631"/>
      <c r="F1896" s="631"/>
      <c r="G1896" s="631"/>
      <c r="H1896" s="833"/>
      <c r="I1896" s="834"/>
      <c r="J1896" s="834"/>
      <c r="K1896" s="835"/>
      <c r="L1896" s="835"/>
      <c r="M1896" s="835"/>
      <c r="N1896" s="835"/>
      <c r="O1896" s="835"/>
      <c r="P1896" s="835"/>
      <c r="Q1896" s="540"/>
      <c r="R1896" s="540"/>
      <c r="S1896" s="540"/>
      <c r="T1896" s="540"/>
      <c r="U1896" s="540"/>
      <c r="V1896" s="540"/>
      <c r="W1896" s="540"/>
      <c r="X1896" s="540"/>
      <c r="Y1896" s="540"/>
      <c r="Z1896" s="540"/>
    </row>
    <row r="1897" spans="1:26" ht="19">
      <c r="A1897" s="631"/>
      <c r="B1897" s="631"/>
      <c r="C1897" s="631"/>
      <c r="D1897" s="832"/>
      <c r="E1897" s="631"/>
      <c r="F1897" s="631"/>
      <c r="G1897" s="631"/>
      <c r="H1897" s="833"/>
      <c r="I1897" s="834"/>
      <c r="J1897" s="834"/>
      <c r="K1897" s="835"/>
      <c r="L1897" s="835"/>
      <c r="M1897" s="835"/>
      <c r="N1897" s="835"/>
      <c r="O1897" s="835"/>
      <c r="P1897" s="835"/>
      <c r="Q1897" s="540"/>
      <c r="R1897" s="540"/>
      <c r="S1897" s="540"/>
      <c r="T1897" s="540"/>
      <c r="U1897" s="540"/>
      <c r="V1897" s="540"/>
      <c r="W1897" s="540"/>
      <c r="X1897" s="540"/>
      <c r="Y1897" s="540"/>
      <c r="Z1897" s="540"/>
    </row>
    <row r="1898" spans="1:26" ht="19">
      <c r="A1898" s="631"/>
      <c r="B1898" s="631"/>
      <c r="C1898" s="631"/>
      <c r="D1898" s="832"/>
      <c r="E1898" s="631"/>
      <c r="F1898" s="631"/>
      <c r="G1898" s="631"/>
      <c r="H1898" s="833"/>
      <c r="I1898" s="834"/>
      <c r="J1898" s="834"/>
      <c r="K1898" s="835"/>
      <c r="L1898" s="835"/>
      <c r="M1898" s="835"/>
      <c r="N1898" s="835"/>
      <c r="O1898" s="835"/>
      <c r="P1898" s="835"/>
      <c r="Q1898" s="540"/>
      <c r="R1898" s="540"/>
      <c r="S1898" s="540"/>
      <c r="T1898" s="540"/>
      <c r="U1898" s="540"/>
      <c r="V1898" s="540"/>
      <c r="W1898" s="540"/>
      <c r="X1898" s="540"/>
      <c r="Y1898" s="540"/>
      <c r="Z1898" s="540"/>
    </row>
    <row r="1899" spans="1:26" ht="19">
      <c r="A1899" s="631"/>
      <c r="B1899" s="631"/>
      <c r="C1899" s="631"/>
      <c r="D1899" s="832"/>
      <c r="E1899" s="631"/>
      <c r="F1899" s="631"/>
      <c r="G1899" s="631"/>
      <c r="H1899" s="833"/>
      <c r="I1899" s="834"/>
      <c r="J1899" s="834"/>
      <c r="K1899" s="835"/>
      <c r="L1899" s="835"/>
      <c r="M1899" s="835"/>
      <c r="N1899" s="835"/>
      <c r="O1899" s="835"/>
      <c r="P1899" s="835"/>
      <c r="Q1899" s="540"/>
      <c r="R1899" s="540"/>
      <c r="S1899" s="540"/>
      <c r="T1899" s="540"/>
      <c r="U1899" s="540"/>
      <c r="V1899" s="540"/>
      <c r="W1899" s="540"/>
      <c r="X1899" s="540"/>
      <c r="Y1899" s="540"/>
      <c r="Z1899" s="540"/>
    </row>
    <row r="1900" spans="1:26" ht="19">
      <c r="A1900" s="631"/>
      <c r="B1900" s="631"/>
      <c r="C1900" s="631"/>
      <c r="D1900" s="832"/>
      <c r="E1900" s="631"/>
      <c r="F1900" s="631"/>
      <c r="G1900" s="631"/>
      <c r="H1900" s="833"/>
      <c r="I1900" s="834"/>
      <c r="J1900" s="834"/>
      <c r="K1900" s="835"/>
      <c r="L1900" s="835"/>
      <c r="M1900" s="835"/>
      <c r="N1900" s="835"/>
      <c r="O1900" s="835"/>
      <c r="P1900" s="835"/>
      <c r="Q1900" s="540"/>
      <c r="R1900" s="540"/>
      <c r="S1900" s="540"/>
      <c r="T1900" s="540"/>
      <c r="U1900" s="540"/>
      <c r="V1900" s="540"/>
      <c r="W1900" s="540"/>
      <c r="X1900" s="540"/>
      <c r="Y1900" s="540"/>
      <c r="Z1900" s="540"/>
    </row>
    <row r="1901" spans="1:26" ht="19">
      <c r="A1901" s="631"/>
      <c r="B1901" s="631"/>
      <c r="C1901" s="631"/>
      <c r="D1901" s="832"/>
      <c r="E1901" s="631"/>
      <c r="F1901" s="631"/>
      <c r="G1901" s="631"/>
      <c r="H1901" s="833"/>
      <c r="I1901" s="834"/>
      <c r="J1901" s="834"/>
      <c r="K1901" s="835"/>
      <c r="L1901" s="835"/>
      <c r="M1901" s="835"/>
      <c r="N1901" s="835"/>
      <c r="O1901" s="835"/>
      <c r="P1901" s="835"/>
      <c r="Q1901" s="540"/>
      <c r="R1901" s="540"/>
      <c r="S1901" s="540"/>
      <c r="T1901" s="540"/>
      <c r="U1901" s="540"/>
      <c r="V1901" s="540"/>
      <c r="W1901" s="540"/>
      <c r="X1901" s="540"/>
      <c r="Y1901" s="540"/>
      <c r="Z1901" s="540"/>
    </row>
    <row r="1902" spans="1:26" ht="19">
      <c r="A1902" s="631"/>
      <c r="B1902" s="631"/>
      <c r="C1902" s="631"/>
      <c r="D1902" s="832"/>
      <c r="E1902" s="631"/>
      <c r="F1902" s="631"/>
      <c r="G1902" s="631"/>
      <c r="H1902" s="833"/>
      <c r="I1902" s="834"/>
      <c r="J1902" s="834"/>
      <c r="K1902" s="835"/>
      <c r="L1902" s="835"/>
      <c r="M1902" s="835"/>
      <c r="N1902" s="835"/>
      <c r="O1902" s="835"/>
      <c r="P1902" s="835"/>
      <c r="Q1902" s="540"/>
      <c r="R1902" s="540"/>
      <c r="S1902" s="540"/>
      <c r="T1902" s="540"/>
      <c r="U1902" s="540"/>
      <c r="V1902" s="540"/>
      <c r="W1902" s="540"/>
      <c r="X1902" s="540"/>
      <c r="Y1902" s="540"/>
      <c r="Z1902" s="540"/>
    </row>
    <row r="1903" spans="1:26" ht="19">
      <c r="A1903" s="631"/>
      <c r="B1903" s="631"/>
      <c r="C1903" s="631"/>
      <c r="D1903" s="832"/>
      <c r="E1903" s="631"/>
      <c r="F1903" s="631"/>
      <c r="G1903" s="631"/>
      <c r="H1903" s="833"/>
      <c r="I1903" s="834"/>
      <c r="J1903" s="834"/>
      <c r="K1903" s="835"/>
      <c r="L1903" s="835"/>
      <c r="M1903" s="835"/>
      <c r="N1903" s="835"/>
      <c r="O1903" s="835"/>
      <c r="P1903" s="835"/>
      <c r="Q1903" s="540"/>
      <c r="R1903" s="540"/>
      <c r="S1903" s="540"/>
      <c r="T1903" s="540"/>
      <c r="U1903" s="540"/>
      <c r="V1903" s="540"/>
      <c r="W1903" s="540"/>
      <c r="X1903" s="540"/>
      <c r="Y1903" s="540"/>
      <c r="Z1903" s="540"/>
    </row>
    <row r="1904" spans="1:26" ht="19">
      <c r="A1904" s="631"/>
      <c r="B1904" s="631"/>
      <c r="C1904" s="631"/>
      <c r="D1904" s="832"/>
      <c r="E1904" s="631"/>
      <c r="F1904" s="631"/>
      <c r="G1904" s="631"/>
      <c r="H1904" s="833"/>
      <c r="I1904" s="834"/>
      <c r="J1904" s="834"/>
      <c r="K1904" s="835"/>
      <c r="L1904" s="835"/>
      <c r="M1904" s="835"/>
      <c r="N1904" s="835"/>
      <c r="O1904" s="835"/>
      <c r="P1904" s="835"/>
      <c r="Q1904" s="540"/>
      <c r="R1904" s="540"/>
      <c r="S1904" s="540"/>
      <c r="T1904" s="540"/>
      <c r="U1904" s="540"/>
      <c r="V1904" s="540"/>
      <c r="W1904" s="540"/>
      <c r="X1904" s="540"/>
      <c r="Y1904" s="540"/>
      <c r="Z1904" s="540"/>
    </row>
    <row r="1905" spans="1:26" ht="19">
      <c r="A1905" s="631"/>
      <c r="B1905" s="631"/>
      <c r="C1905" s="631"/>
      <c r="D1905" s="832"/>
      <c r="E1905" s="631"/>
      <c r="F1905" s="631"/>
      <c r="G1905" s="631"/>
      <c r="H1905" s="833"/>
      <c r="I1905" s="834"/>
      <c r="J1905" s="834"/>
      <c r="K1905" s="835"/>
      <c r="L1905" s="835"/>
      <c r="M1905" s="835"/>
      <c r="N1905" s="835"/>
      <c r="O1905" s="835"/>
      <c r="P1905" s="835"/>
      <c r="Q1905" s="540"/>
      <c r="R1905" s="540"/>
      <c r="S1905" s="540"/>
      <c r="T1905" s="540"/>
      <c r="U1905" s="540"/>
      <c r="V1905" s="540"/>
      <c r="W1905" s="540"/>
      <c r="X1905" s="540"/>
      <c r="Y1905" s="540"/>
      <c r="Z1905" s="540"/>
    </row>
    <row r="1906" spans="1:26" ht="19">
      <c r="A1906" s="631"/>
      <c r="B1906" s="631"/>
      <c r="C1906" s="631"/>
      <c r="D1906" s="832"/>
      <c r="E1906" s="631"/>
      <c r="F1906" s="631"/>
      <c r="G1906" s="631"/>
      <c r="H1906" s="833"/>
      <c r="I1906" s="834"/>
      <c r="J1906" s="834"/>
      <c r="K1906" s="835"/>
      <c r="L1906" s="835"/>
      <c r="M1906" s="835"/>
      <c r="N1906" s="835"/>
      <c r="O1906" s="835"/>
      <c r="P1906" s="835"/>
      <c r="Q1906" s="540"/>
      <c r="R1906" s="540"/>
      <c r="S1906" s="540"/>
      <c r="T1906" s="540"/>
      <c r="U1906" s="540"/>
      <c r="V1906" s="540"/>
      <c r="W1906" s="540"/>
      <c r="X1906" s="540"/>
      <c r="Y1906" s="540"/>
      <c r="Z1906" s="540"/>
    </row>
    <row r="1907" spans="1:26" ht="19">
      <c r="A1907" s="631"/>
      <c r="B1907" s="631"/>
      <c r="C1907" s="631"/>
      <c r="D1907" s="832"/>
      <c r="E1907" s="631"/>
      <c r="F1907" s="631"/>
      <c r="G1907" s="631"/>
      <c r="H1907" s="833"/>
      <c r="I1907" s="834"/>
      <c r="J1907" s="834"/>
      <c r="K1907" s="835"/>
      <c r="L1907" s="835"/>
      <c r="M1907" s="835"/>
      <c r="N1907" s="835"/>
      <c r="O1907" s="835"/>
      <c r="P1907" s="835"/>
      <c r="Q1907" s="540"/>
      <c r="R1907" s="540"/>
      <c r="S1907" s="540"/>
      <c r="T1907" s="540"/>
      <c r="U1907" s="540"/>
      <c r="V1907" s="540"/>
      <c r="W1907" s="540"/>
      <c r="X1907" s="540"/>
      <c r="Y1907" s="540"/>
      <c r="Z1907" s="540"/>
    </row>
    <row r="1908" spans="1:26" ht="19">
      <c r="A1908" s="631"/>
      <c r="B1908" s="631"/>
      <c r="C1908" s="631"/>
      <c r="D1908" s="832"/>
      <c r="E1908" s="631"/>
      <c r="F1908" s="631"/>
      <c r="G1908" s="631"/>
      <c r="H1908" s="833"/>
      <c r="I1908" s="834"/>
      <c r="J1908" s="834"/>
      <c r="K1908" s="835"/>
      <c r="L1908" s="835"/>
      <c r="M1908" s="835"/>
      <c r="N1908" s="835"/>
      <c r="O1908" s="835"/>
      <c r="P1908" s="835"/>
      <c r="Q1908" s="540"/>
      <c r="R1908" s="540"/>
      <c r="S1908" s="540"/>
      <c r="T1908" s="540"/>
      <c r="U1908" s="540"/>
      <c r="V1908" s="540"/>
      <c r="W1908" s="540"/>
      <c r="X1908" s="540"/>
      <c r="Y1908" s="540"/>
      <c r="Z1908" s="540"/>
    </row>
    <row r="1909" spans="1:26" ht="19">
      <c r="A1909" s="631"/>
      <c r="B1909" s="631"/>
      <c r="C1909" s="631"/>
      <c r="D1909" s="832"/>
      <c r="E1909" s="631"/>
      <c r="F1909" s="631"/>
      <c r="G1909" s="631"/>
      <c r="H1909" s="833"/>
      <c r="I1909" s="834"/>
      <c r="J1909" s="834"/>
      <c r="K1909" s="835"/>
      <c r="L1909" s="835"/>
      <c r="M1909" s="835"/>
      <c r="N1909" s="835"/>
      <c r="O1909" s="835"/>
      <c r="P1909" s="835"/>
      <c r="Q1909" s="540"/>
      <c r="R1909" s="540"/>
      <c r="S1909" s="540"/>
      <c r="T1909" s="540"/>
      <c r="U1909" s="540"/>
      <c r="V1909" s="540"/>
      <c r="W1909" s="540"/>
      <c r="X1909" s="540"/>
      <c r="Y1909" s="540"/>
      <c r="Z1909" s="540"/>
    </row>
    <row r="1910" spans="1:26" ht="19">
      <c r="A1910" s="631"/>
      <c r="B1910" s="631"/>
      <c r="C1910" s="631"/>
      <c r="D1910" s="832"/>
      <c r="E1910" s="631"/>
      <c r="F1910" s="631"/>
      <c r="G1910" s="631"/>
      <c r="H1910" s="833"/>
      <c r="I1910" s="834"/>
      <c r="J1910" s="834"/>
      <c r="K1910" s="835"/>
      <c r="L1910" s="835"/>
      <c r="M1910" s="835"/>
      <c r="N1910" s="835"/>
      <c r="O1910" s="835"/>
      <c r="P1910" s="835"/>
      <c r="Q1910" s="540"/>
      <c r="R1910" s="540"/>
      <c r="S1910" s="540"/>
      <c r="T1910" s="540"/>
      <c r="U1910" s="540"/>
      <c r="V1910" s="540"/>
      <c r="W1910" s="540"/>
      <c r="X1910" s="540"/>
      <c r="Y1910" s="540"/>
      <c r="Z1910" s="540"/>
    </row>
    <row r="1911" spans="1:26" ht="19">
      <c r="A1911" s="631"/>
      <c r="B1911" s="631"/>
      <c r="C1911" s="631"/>
      <c r="D1911" s="832"/>
      <c r="E1911" s="631"/>
      <c r="F1911" s="631"/>
      <c r="G1911" s="631"/>
      <c r="H1911" s="833"/>
      <c r="I1911" s="834"/>
      <c r="J1911" s="834"/>
      <c r="K1911" s="835"/>
      <c r="L1911" s="835"/>
      <c r="M1911" s="835"/>
      <c r="N1911" s="835"/>
      <c r="O1911" s="835"/>
      <c r="P1911" s="835"/>
      <c r="Q1911" s="540"/>
      <c r="R1911" s="540"/>
      <c r="S1911" s="540"/>
      <c r="T1911" s="540"/>
      <c r="U1911" s="540"/>
      <c r="V1911" s="540"/>
      <c r="W1911" s="540"/>
      <c r="X1911" s="540"/>
      <c r="Y1911" s="540"/>
      <c r="Z1911" s="540"/>
    </row>
    <row r="1912" spans="1:26" ht="19">
      <c r="A1912" s="631"/>
      <c r="B1912" s="631"/>
      <c r="C1912" s="631"/>
      <c r="D1912" s="832"/>
      <c r="E1912" s="631"/>
      <c r="F1912" s="631"/>
      <c r="G1912" s="631"/>
      <c r="H1912" s="833"/>
      <c r="I1912" s="834"/>
      <c r="J1912" s="834"/>
      <c r="K1912" s="835"/>
      <c r="L1912" s="835"/>
      <c r="M1912" s="835"/>
      <c r="N1912" s="835"/>
      <c r="O1912" s="835"/>
      <c r="P1912" s="835"/>
      <c r="Q1912" s="540"/>
      <c r="R1912" s="540"/>
      <c r="S1912" s="540"/>
      <c r="T1912" s="540"/>
      <c r="U1912" s="540"/>
      <c r="V1912" s="540"/>
      <c r="W1912" s="540"/>
      <c r="X1912" s="540"/>
      <c r="Y1912" s="540"/>
      <c r="Z1912" s="540"/>
    </row>
    <row r="1913" spans="1:26" ht="19">
      <c r="A1913" s="631"/>
      <c r="B1913" s="631"/>
      <c r="C1913" s="631"/>
      <c r="D1913" s="832"/>
      <c r="E1913" s="631"/>
      <c r="F1913" s="631"/>
      <c r="G1913" s="631"/>
      <c r="H1913" s="833"/>
      <c r="I1913" s="834"/>
      <c r="J1913" s="834"/>
      <c r="K1913" s="835"/>
      <c r="L1913" s="835"/>
      <c r="M1913" s="835"/>
      <c r="N1913" s="835"/>
      <c r="O1913" s="835"/>
      <c r="P1913" s="835"/>
      <c r="Q1913" s="540"/>
      <c r="R1913" s="540"/>
      <c r="S1913" s="540"/>
      <c r="T1913" s="540"/>
      <c r="U1913" s="540"/>
      <c r="V1913" s="540"/>
      <c r="W1913" s="540"/>
      <c r="X1913" s="540"/>
      <c r="Y1913" s="540"/>
      <c r="Z1913" s="540"/>
    </row>
    <row r="1914" spans="1:26" ht="19">
      <c r="A1914" s="631"/>
      <c r="B1914" s="631"/>
      <c r="C1914" s="631"/>
      <c r="D1914" s="832"/>
      <c r="E1914" s="631"/>
      <c r="F1914" s="631"/>
      <c r="G1914" s="631"/>
      <c r="H1914" s="833"/>
      <c r="I1914" s="834"/>
      <c r="J1914" s="834"/>
      <c r="K1914" s="835"/>
      <c r="L1914" s="835"/>
      <c r="M1914" s="835"/>
      <c r="N1914" s="835"/>
      <c r="O1914" s="835"/>
      <c r="P1914" s="835"/>
      <c r="Q1914" s="540"/>
      <c r="R1914" s="540"/>
      <c r="S1914" s="540"/>
      <c r="T1914" s="540"/>
      <c r="U1914" s="540"/>
      <c r="V1914" s="540"/>
      <c r="W1914" s="540"/>
      <c r="X1914" s="540"/>
      <c r="Y1914" s="540"/>
      <c r="Z1914" s="540"/>
    </row>
    <row r="1915" spans="1:26" ht="19">
      <c r="A1915" s="631"/>
      <c r="B1915" s="631"/>
      <c r="C1915" s="631"/>
      <c r="D1915" s="832"/>
      <c r="E1915" s="631"/>
      <c r="F1915" s="631"/>
      <c r="G1915" s="631"/>
      <c r="H1915" s="833"/>
      <c r="I1915" s="834"/>
      <c r="J1915" s="834"/>
      <c r="K1915" s="835"/>
      <c r="L1915" s="835"/>
      <c r="M1915" s="835"/>
      <c r="N1915" s="835"/>
      <c r="O1915" s="835"/>
      <c r="P1915" s="835"/>
      <c r="Q1915" s="540"/>
      <c r="R1915" s="540"/>
      <c r="S1915" s="540"/>
      <c r="T1915" s="540"/>
      <c r="U1915" s="540"/>
      <c r="V1915" s="540"/>
      <c r="W1915" s="540"/>
      <c r="X1915" s="540"/>
      <c r="Y1915" s="540"/>
      <c r="Z1915" s="540"/>
    </row>
    <row r="1916" spans="1:26" ht="19">
      <c r="A1916" s="631"/>
      <c r="B1916" s="631"/>
      <c r="C1916" s="631"/>
      <c r="D1916" s="832"/>
      <c r="E1916" s="631"/>
      <c r="F1916" s="631"/>
      <c r="G1916" s="631"/>
      <c r="H1916" s="833"/>
      <c r="I1916" s="834"/>
      <c r="J1916" s="834"/>
      <c r="K1916" s="835"/>
      <c r="L1916" s="835"/>
      <c r="M1916" s="835"/>
      <c r="N1916" s="835"/>
      <c r="O1916" s="835"/>
      <c r="P1916" s="835"/>
      <c r="Q1916" s="540"/>
      <c r="R1916" s="540"/>
      <c r="S1916" s="540"/>
      <c r="T1916" s="540"/>
      <c r="U1916" s="540"/>
      <c r="V1916" s="540"/>
      <c r="W1916" s="540"/>
      <c r="X1916" s="540"/>
      <c r="Y1916" s="540"/>
      <c r="Z1916" s="540"/>
    </row>
    <row r="1917" spans="1:26" ht="19">
      <c r="A1917" s="631"/>
      <c r="B1917" s="631"/>
      <c r="C1917" s="631"/>
      <c r="D1917" s="832"/>
      <c r="E1917" s="631"/>
      <c r="F1917" s="631"/>
      <c r="G1917" s="631"/>
      <c r="H1917" s="833"/>
      <c r="I1917" s="834"/>
      <c r="J1917" s="834"/>
      <c r="K1917" s="835"/>
      <c r="L1917" s="835"/>
      <c r="M1917" s="835"/>
      <c r="N1917" s="835"/>
      <c r="O1917" s="835"/>
      <c r="P1917" s="835"/>
      <c r="Q1917" s="540"/>
      <c r="R1917" s="540"/>
      <c r="S1917" s="540"/>
      <c r="T1917" s="540"/>
      <c r="U1917" s="540"/>
      <c r="V1917" s="540"/>
      <c r="W1917" s="540"/>
      <c r="X1917" s="540"/>
      <c r="Y1917" s="540"/>
      <c r="Z1917" s="540"/>
    </row>
    <row r="1918" spans="1:26" ht="19">
      <c r="A1918" s="631"/>
      <c r="B1918" s="631"/>
      <c r="C1918" s="631"/>
      <c r="D1918" s="832"/>
      <c r="E1918" s="631"/>
      <c r="F1918" s="631"/>
      <c r="G1918" s="631"/>
      <c r="H1918" s="833"/>
      <c r="I1918" s="834"/>
      <c r="J1918" s="834"/>
      <c r="K1918" s="835"/>
      <c r="L1918" s="835"/>
      <c r="M1918" s="835"/>
      <c r="N1918" s="835"/>
      <c r="O1918" s="835"/>
      <c r="P1918" s="835"/>
      <c r="Q1918" s="540"/>
      <c r="R1918" s="540"/>
      <c r="S1918" s="540"/>
      <c r="T1918" s="540"/>
      <c r="U1918" s="540"/>
      <c r="V1918" s="540"/>
      <c r="W1918" s="540"/>
      <c r="X1918" s="540"/>
      <c r="Y1918" s="540"/>
      <c r="Z1918" s="540"/>
    </row>
    <row r="1919" spans="1:26" ht="19">
      <c r="A1919" s="631"/>
      <c r="B1919" s="631"/>
      <c r="C1919" s="631"/>
      <c r="D1919" s="832"/>
      <c r="E1919" s="631"/>
      <c r="F1919" s="631"/>
      <c r="G1919" s="631"/>
      <c r="H1919" s="833"/>
      <c r="I1919" s="834"/>
      <c r="J1919" s="834"/>
      <c r="K1919" s="835"/>
      <c r="L1919" s="835"/>
      <c r="M1919" s="835"/>
      <c r="N1919" s="835"/>
      <c r="O1919" s="835"/>
      <c r="P1919" s="835"/>
      <c r="Q1919" s="540"/>
      <c r="R1919" s="540"/>
      <c r="S1919" s="540"/>
      <c r="T1919" s="540"/>
      <c r="U1919" s="540"/>
      <c r="V1919" s="540"/>
      <c r="W1919" s="540"/>
      <c r="X1919" s="540"/>
      <c r="Y1919" s="540"/>
      <c r="Z1919" s="540"/>
    </row>
    <row r="1920" spans="1:26" ht="19">
      <c r="A1920" s="631"/>
      <c r="B1920" s="631"/>
      <c r="C1920" s="631"/>
      <c r="D1920" s="832"/>
      <c r="E1920" s="631"/>
      <c r="F1920" s="631"/>
      <c r="G1920" s="631"/>
      <c r="H1920" s="833"/>
      <c r="I1920" s="834"/>
      <c r="J1920" s="834"/>
      <c r="K1920" s="835"/>
      <c r="L1920" s="835"/>
      <c r="M1920" s="835"/>
      <c r="N1920" s="835"/>
      <c r="O1920" s="835"/>
      <c r="P1920" s="835"/>
      <c r="Q1920" s="540"/>
      <c r="R1920" s="540"/>
      <c r="S1920" s="540"/>
      <c r="T1920" s="540"/>
      <c r="U1920" s="540"/>
      <c r="V1920" s="540"/>
      <c r="W1920" s="540"/>
      <c r="X1920" s="540"/>
      <c r="Y1920" s="540"/>
      <c r="Z1920" s="540"/>
    </row>
    <row r="1921" spans="1:26" ht="19">
      <c r="A1921" s="631"/>
      <c r="B1921" s="631"/>
      <c r="C1921" s="631"/>
      <c r="D1921" s="832"/>
      <c r="E1921" s="631"/>
      <c r="F1921" s="631"/>
      <c r="G1921" s="631"/>
      <c r="H1921" s="833"/>
      <c r="I1921" s="834"/>
      <c r="J1921" s="834"/>
      <c r="K1921" s="835"/>
      <c r="L1921" s="835"/>
      <c r="M1921" s="835"/>
      <c r="N1921" s="835"/>
      <c r="O1921" s="835"/>
      <c r="P1921" s="835"/>
      <c r="Q1921" s="540"/>
      <c r="R1921" s="540"/>
      <c r="S1921" s="540"/>
      <c r="T1921" s="540"/>
      <c r="U1921" s="540"/>
      <c r="V1921" s="540"/>
      <c r="W1921" s="540"/>
      <c r="X1921" s="540"/>
      <c r="Y1921" s="540"/>
      <c r="Z1921" s="540"/>
    </row>
    <row r="1922" spans="1:26" ht="19">
      <c r="A1922" s="631"/>
      <c r="B1922" s="631"/>
      <c r="C1922" s="631"/>
      <c r="D1922" s="832"/>
      <c r="E1922" s="631"/>
      <c r="F1922" s="631"/>
      <c r="G1922" s="631"/>
      <c r="H1922" s="833"/>
      <c r="I1922" s="834"/>
      <c r="J1922" s="834"/>
      <c r="K1922" s="835"/>
      <c r="L1922" s="835"/>
      <c r="M1922" s="835"/>
      <c r="N1922" s="835"/>
      <c r="O1922" s="835"/>
      <c r="P1922" s="835"/>
      <c r="Q1922" s="540"/>
      <c r="R1922" s="540"/>
      <c r="S1922" s="540"/>
      <c r="T1922" s="540"/>
      <c r="U1922" s="540"/>
      <c r="V1922" s="540"/>
      <c r="W1922" s="540"/>
      <c r="X1922" s="540"/>
      <c r="Y1922" s="540"/>
      <c r="Z1922" s="540"/>
    </row>
    <row r="1923" spans="1:26" ht="19">
      <c r="A1923" s="631"/>
      <c r="B1923" s="631"/>
      <c r="C1923" s="631"/>
      <c r="D1923" s="832"/>
      <c r="E1923" s="631"/>
      <c r="F1923" s="631"/>
      <c r="G1923" s="631"/>
      <c r="H1923" s="833"/>
      <c r="I1923" s="834"/>
      <c r="J1923" s="834"/>
      <c r="K1923" s="835"/>
      <c r="L1923" s="835"/>
      <c r="M1923" s="835"/>
      <c r="N1923" s="835"/>
      <c r="O1923" s="835"/>
      <c r="P1923" s="835"/>
      <c r="Q1923" s="540"/>
      <c r="R1923" s="540"/>
      <c r="S1923" s="540"/>
      <c r="T1923" s="540"/>
      <c r="U1923" s="540"/>
      <c r="V1923" s="540"/>
      <c r="W1923" s="540"/>
      <c r="X1923" s="540"/>
      <c r="Y1923" s="540"/>
      <c r="Z1923" s="540"/>
    </row>
    <row r="1924" spans="1:26" ht="19">
      <c r="A1924" s="631"/>
      <c r="B1924" s="631"/>
      <c r="C1924" s="631"/>
      <c r="D1924" s="832"/>
      <c r="E1924" s="631"/>
      <c r="F1924" s="631"/>
      <c r="G1924" s="631"/>
      <c r="H1924" s="833"/>
      <c r="I1924" s="834"/>
      <c r="J1924" s="834"/>
      <c r="K1924" s="835"/>
      <c r="L1924" s="835"/>
      <c r="M1924" s="835"/>
      <c r="N1924" s="835"/>
      <c r="O1924" s="835"/>
      <c r="P1924" s="835"/>
      <c r="Q1924" s="540"/>
      <c r="R1924" s="540"/>
      <c r="S1924" s="540"/>
      <c r="T1924" s="540"/>
      <c r="U1924" s="540"/>
      <c r="V1924" s="540"/>
      <c r="W1924" s="540"/>
      <c r="X1924" s="540"/>
      <c r="Y1924" s="540"/>
      <c r="Z1924" s="540"/>
    </row>
    <row r="1925" spans="1:26" ht="19">
      <c r="A1925" s="631"/>
      <c r="B1925" s="631"/>
      <c r="C1925" s="631"/>
      <c r="D1925" s="832"/>
      <c r="E1925" s="631"/>
      <c r="F1925" s="631"/>
      <c r="G1925" s="631"/>
      <c r="H1925" s="833"/>
      <c r="I1925" s="834"/>
      <c r="J1925" s="834"/>
      <c r="K1925" s="835"/>
      <c r="L1925" s="835"/>
      <c r="M1925" s="835"/>
      <c r="N1925" s="835"/>
      <c r="O1925" s="835"/>
      <c r="P1925" s="835"/>
      <c r="Q1925" s="540"/>
      <c r="R1925" s="540"/>
      <c r="S1925" s="540"/>
      <c r="T1925" s="540"/>
      <c r="U1925" s="540"/>
      <c r="V1925" s="540"/>
      <c r="W1925" s="540"/>
      <c r="X1925" s="540"/>
      <c r="Y1925" s="540"/>
      <c r="Z1925" s="540"/>
    </row>
    <row r="1926" spans="1:26" ht="19">
      <c r="A1926" s="631"/>
      <c r="B1926" s="631"/>
      <c r="C1926" s="631"/>
      <c r="D1926" s="832"/>
      <c r="E1926" s="631"/>
      <c r="F1926" s="631"/>
      <c r="G1926" s="631"/>
      <c r="H1926" s="833"/>
      <c r="I1926" s="834"/>
      <c r="J1926" s="834"/>
      <c r="K1926" s="835"/>
      <c r="L1926" s="835"/>
      <c r="M1926" s="835"/>
      <c r="N1926" s="835"/>
      <c r="O1926" s="835"/>
      <c r="P1926" s="835"/>
      <c r="Q1926" s="540"/>
      <c r="R1926" s="540"/>
      <c r="S1926" s="540"/>
      <c r="T1926" s="540"/>
      <c r="U1926" s="540"/>
      <c r="V1926" s="540"/>
      <c r="W1926" s="540"/>
      <c r="X1926" s="540"/>
      <c r="Y1926" s="540"/>
      <c r="Z1926" s="540"/>
    </row>
    <row r="1927" spans="1:26" ht="19">
      <c r="A1927" s="631"/>
      <c r="B1927" s="631"/>
      <c r="C1927" s="631"/>
      <c r="D1927" s="832"/>
      <c r="E1927" s="631"/>
      <c r="F1927" s="631"/>
      <c r="G1927" s="631"/>
      <c r="H1927" s="833"/>
      <c r="I1927" s="834"/>
      <c r="J1927" s="834"/>
      <c r="K1927" s="835"/>
      <c r="L1927" s="835"/>
      <c r="M1927" s="835"/>
      <c r="N1927" s="835"/>
      <c r="O1927" s="835"/>
      <c r="P1927" s="835"/>
      <c r="Q1927" s="540"/>
      <c r="R1927" s="540"/>
      <c r="S1927" s="540"/>
      <c r="T1927" s="540"/>
      <c r="U1927" s="540"/>
      <c r="V1927" s="540"/>
      <c r="W1927" s="540"/>
      <c r="X1927" s="540"/>
      <c r="Y1927" s="540"/>
      <c r="Z1927" s="540"/>
    </row>
    <row r="1928" spans="1:26" ht="19">
      <c r="A1928" s="631"/>
      <c r="B1928" s="631"/>
      <c r="C1928" s="631"/>
      <c r="D1928" s="832"/>
      <c r="E1928" s="631"/>
      <c r="F1928" s="631"/>
      <c r="G1928" s="631"/>
      <c r="H1928" s="833"/>
      <c r="I1928" s="834"/>
      <c r="J1928" s="834"/>
      <c r="K1928" s="835"/>
      <c r="L1928" s="835"/>
      <c r="M1928" s="835"/>
      <c r="N1928" s="835"/>
      <c r="O1928" s="835"/>
      <c r="P1928" s="835"/>
      <c r="Q1928" s="540"/>
      <c r="R1928" s="540"/>
      <c r="S1928" s="540"/>
      <c r="T1928" s="540"/>
      <c r="U1928" s="540"/>
      <c r="V1928" s="540"/>
      <c r="W1928" s="540"/>
      <c r="X1928" s="540"/>
      <c r="Y1928" s="540"/>
      <c r="Z1928" s="540"/>
    </row>
    <row r="1929" spans="1:26" ht="19">
      <c r="A1929" s="631"/>
      <c r="B1929" s="631"/>
      <c r="C1929" s="631"/>
      <c r="D1929" s="832"/>
      <c r="E1929" s="631"/>
      <c r="F1929" s="631"/>
      <c r="G1929" s="631"/>
      <c r="H1929" s="833"/>
      <c r="I1929" s="834"/>
      <c r="J1929" s="834"/>
      <c r="K1929" s="835"/>
      <c r="L1929" s="835"/>
      <c r="M1929" s="835"/>
      <c r="N1929" s="835"/>
      <c r="O1929" s="835"/>
      <c r="P1929" s="835"/>
      <c r="Q1929" s="540"/>
      <c r="R1929" s="540"/>
      <c r="S1929" s="540"/>
      <c r="T1929" s="540"/>
      <c r="U1929" s="540"/>
      <c r="V1929" s="540"/>
      <c r="W1929" s="540"/>
      <c r="X1929" s="540"/>
      <c r="Y1929" s="540"/>
      <c r="Z1929" s="540"/>
    </row>
    <row r="1930" spans="1:26" ht="19">
      <c r="A1930" s="631"/>
      <c r="B1930" s="631"/>
      <c r="C1930" s="631"/>
      <c r="D1930" s="832"/>
      <c r="E1930" s="631"/>
      <c r="F1930" s="631"/>
      <c r="G1930" s="631"/>
      <c r="H1930" s="833"/>
      <c r="I1930" s="834"/>
      <c r="J1930" s="834"/>
      <c r="K1930" s="835"/>
      <c r="L1930" s="835"/>
      <c r="M1930" s="835"/>
      <c r="N1930" s="835"/>
      <c r="O1930" s="835"/>
      <c r="P1930" s="835"/>
      <c r="Q1930" s="540"/>
      <c r="R1930" s="540"/>
      <c r="S1930" s="540"/>
      <c r="T1930" s="540"/>
      <c r="U1930" s="540"/>
      <c r="V1930" s="540"/>
      <c r="W1930" s="540"/>
      <c r="X1930" s="540"/>
      <c r="Y1930" s="540"/>
      <c r="Z1930" s="540"/>
    </row>
    <row r="1931" spans="1:26" ht="19">
      <c r="A1931" s="631"/>
      <c r="B1931" s="631"/>
      <c r="C1931" s="631"/>
      <c r="D1931" s="832"/>
      <c r="E1931" s="631"/>
      <c r="F1931" s="631"/>
      <c r="G1931" s="631"/>
      <c r="H1931" s="833"/>
      <c r="I1931" s="834"/>
      <c r="J1931" s="834"/>
      <c r="K1931" s="835"/>
      <c r="L1931" s="835"/>
      <c r="M1931" s="835"/>
      <c r="N1931" s="835"/>
      <c r="O1931" s="835"/>
      <c r="P1931" s="835"/>
      <c r="Q1931" s="540"/>
      <c r="R1931" s="540"/>
      <c r="S1931" s="540"/>
      <c r="T1931" s="540"/>
      <c r="U1931" s="540"/>
      <c r="V1931" s="540"/>
      <c r="W1931" s="540"/>
      <c r="X1931" s="540"/>
      <c r="Y1931" s="540"/>
      <c r="Z1931" s="540"/>
    </row>
    <row r="1932" spans="1:26" ht="19">
      <c r="A1932" s="631"/>
      <c r="B1932" s="631"/>
      <c r="C1932" s="631"/>
      <c r="D1932" s="832"/>
      <c r="E1932" s="631"/>
      <c r="F1932" s="631"/>
      <c r="G1932" s="631"/>
      <c r="H1932" s="833"/>
      <c r="I1932" s="834"/>
      <c r="J1932" s="834"/>
      <c r="K1932" s="835"/>
      <c r="L1932" s="835"/>
      <c r="M1932" s="835"/>
      <c r="N1932" s="835"/>
      <c r="O1932" s="835"/>
      <c r="P1932" s="835"/>
      <c r="Q1932" s="540"/>
      <c r="R1932" s="540"/>
      <c r="S1932" s="540"/>
      <c r="T1932" s="540"/>
      <c r="U1932" s="540"/>
      <c r="V1932" s="540"/>
      <c r="W1932" s="540"/>
      <c r="X1932" s="540"/>
      <c r="Y1932" s="540"/>
      <c r="Z1932" s="540"/>
    </row>
    <row r="1933" spans="1:26" ht="19">
      <c r="A1933" s="631"/>
      <c r="B1933" s="631"/>
      <c r="C1933" s="631"/>
      <c r="D1933" s="832"/>
      <c r="E1933" s="631"/>
      <c r="F1933" s="631"/>
      <c r="G1933" s="631"/>
      <c r="H1933" s="833"/>
      <c r="I1933" s="834"/>
      <c r="J1933" s="834"/>
      <c r="K1933" s="835"/>
      <c r="L1933" s="835"/>
      <c r="M1933" s="835"/>
      <c r="N1933" s="835"/>
      <c r="O1933" s="835"/>
      <c r="P1933" s="835"/>
      <c r="Q1933" s="540"/>
      <c r="R1933" s="540"/>
      <c r="S1933" s="540"/>
      <c r="T1933" s="540"/>
      <c r="U1933" s="540"/>
      <c r="V1933" s="540"/>
      <c r="W1933" s="540"/>
      <c r="X1933" s="540"/>
      <c r="Y1933" s="540"/>
      <c r="Z1933" s="540"/>
    </row>
    <row r="1934" spans="1:26" ht="19">
      <c r="A1934" s="631"/>
      <c r="B1934" s="631"/>
      <c r="C1934" s="631"/>
      <c r="D1934" s="832"/>
      <c r="E1934" s="631"/>
      <c r="F1934" s="631"/>
      <c r="G1934" s="631"/>
      <c r="H1934" s="833"/>
      <c r="I1934" s="834"/>
      <c r="J1934" s="834"/>
      <c r="K1934" s="835"/>
      <c r="L1934" s="835"/>
      <c r="M1934" s="835"/>
      <c r="N1934" s="835"/>
      <c r="O1934" s="835"/>
      <c r="P1934" s="835"/>
      <c r="Q1934" s="540"/>
      <c r="R1934" s="540"/>
      <c r="S1934" s="540"/>
      <c r="T1934" s="540"/>
      <c r="U1934" s="540"/>
      <c r="V1934" s="540"/>
      <c r="W1934" s="540"/>
      <c r="X1934" s="540"/>
      <c r="Y1934" s="540"/>
      <c r="Z1934" s="540"/>
    </row>
    <row r="1935" spans="1:26" ht="19">
      <c r="A1935" s="631"/>
      <c r="B1935" s="631"/>
      <c r="C1935" s="631"/>
      <c r="D1935" s="832"/>
      <c r="E1935" s="631"/>
      <c r="F1935" s="631"/>
      <c r="G1935" s="631"/>
      <c r="H1935" s="833"/>
      <c r="I1935" s="834"/>
      <c r="J1935" s="834"/>
      <c r="K1935" s="835"/>
      <c r="L1935" s="835"/>
      <c r="M1935" s="835"/>
      <c r="N1935" s="835"/>
      <c r="O1935" s="835"/>
      <c r="P1935" s="835"/>
      <c r="Q1935" s="540"/>
      <c r="R1935" s="540"/>
      <c r="S1935" s="540"/>
      <c r="T1935" s="540"/>
      <c r="U1935" s="540"/>
      <c r="V1935" s="540"/>
      <c r="W1935" s="540"/>
      <c r="X1935" s="540"/>
      <c r="Y1935" s="540"/>
      <c r="Z1935" s="540"/>
    </row>
    <row r="1936" spans="1:26" ht="19">
      <c r="A1936" s="631"/>
      <c r="B1936" s="631"/>
      <c r="C1936" s="631"/>
      <c r="D1936" s="832"/>
      <c r="E1936" s="631"/>
      <c r="F1936" s="631"/>
      <c r="G1936" s="631"/>
      <c r="H1936" s="833"/>
      <c r="I1936" s="834"/>
      <c r="J1936" s="834"/>
      <c r="K1936" s="835"/>
      <c r="L1936" s="835"/>
      <c r="M1936" s="835"/>
      <c r="N1936" s="835"/>
      <c r="O1936" s="835"/>
      <c r="P1936" s="835"/>
      <c r="Q1936" s="540"/>
      <c r="R1936" s="540"/>
      <c r="S1936" s="540"/>
      <c r="T1936" s="540"/>
      <c r="U1936" s="540"/>
      <c r="V1936" s="540"/>
      <c r="W1936" s="540"/>
      <c r="X1936" s="540"/>
      <c r="Y1936" s="540"/>
      <c r="Z1936" s="540"/>
    </row>
    <row r="1937" spans="1:26" ht="19">
      <c r="A1937" s="631"/>
      <c r="B1937" s="631"/>
      <c r="C1937" s="631"/>
      <c r="D1937" s="832"/>
      <c r="E1937" s="631"/>
      <c r="F1937" s="631"/>
      <c r="G1937" s="631"/>
      <c r="H1937" s="833"/>
      <c r="I1937" s="834"/>
      <c r="J1937" s="834"/>
      <c r="K1937" s="835"/>
      <c r="L1937" s="835"/>
      <c r="M1937" s="835"/>
      <c r="N1937" s="835"/>
      <c r="O1937" s="835"/>
      <c r="P1937" s="835"/>
      <c r="Q1937" s="540"/>
      <c r="R1937" s="540"/>
      <c r="S1937" s="540"/>
      <c r="T1937" s="540"/>
      <c r="U1937" s="540"/>
      <c r="V1937" s="540"/>
      <c r="W1937" s="540"/>
      <c r="X1937" s="540"/>
      <c r="Y1937" s="540"/>
      <c r="Z1937" s="540"/>
    </row>
    <row r="1938" spans="1:26" ht="19">
      <c r="A1938" s="631"/>
      <c r="B1938" s="631"/>
      <c r="C1938" s="631"/>
      <c r="D1938" s="832"/>
      <c r="E1938" s="631"/>
      <c r="F1938" s="631"/>
      <c r="G1938" s="631"/>
      <c r="H1938" s="833"/>
      <c r="I1938" s="834"/>
      <c r="J1938" s="834"/>
      <c r="K1938" s="835"/>
      <c r="L1938" s="835"/>
      <c r="M1938" s="835"/>
      <c r="N1938" s="835"/>
      <c r="O1938" s="835"/>
      <c r="P1938" s="835"/>
      <c r="Q1938" s="540"/>
      <c r="R1938" s="540"/>
      <c r="S1938" s="540"/>
      <c r="T1938" s="540"/>
      <c r="U1938" s="540"/>
      <c r="V1938" s="540"/>
      <c r="W1938" s="540"/>
      <c r="X1938" s="540"/>
      <c r="Y1938" s="540"/>
      <c r="Z1938" s="540"/>
    </row>
    <row r="1939" spans="1:26" ht="19">
      <c r="A1939" s="631"/>
      <c r="B1939" s="631"/>
      <c r="C1939" s="631"/>
      <c r="D1939" s="832"/>
      <c r="E1939" s="631"/>
      <c r="F1939" s="631"/>
      <c r="G1939" s="631"/>
      <c r="H1939" s="833"/>
      <c r="I1939" s="834"/>
      <c r="J1939" s="834"/>
      <c r="K1939" s="835"/>
      <c r="L1939" s="835"/>
      <c r="M1939" s="835"/>
      <c r="N1939" s="835"/>
      <c r="O1939" s="835"/>
      <c r="P1939" s="835"/>
      <c r="Q1939" s="540"/>
      <c r="R1939" s="540"/>
      <c r="S1939" s="540"/>
      <c r="T1939" s="540"/>
      <c r="U1939" s="540"/>
      <c r="V1939" s="540"/>
      <c r="W1939" s="540"/>
      <c r="X1939" s="540"/>
      <c r="Y1939" s="540"/>
      <c r="Z1939" s="540"/>
    </row>
    <row r="1940" spans="1:26" ht="19">
      <c r="A1940" s="631"/>
      <c r="B1940" s="631"/>
      <c r="C1940" s="631"/>
      <c r="D1940" s="832"/>
      <c r="E1940" s="631"/>
      <c r="F1940" s="631"/>
      <c r="G1940" s="631"/>
      <c r="H1940" s="833"/>
      <c r="I1940" s="834"/>
      <c r="J1940" s="834"/>
      <c r="K1940" s="835"/>
      <c r="L1940" s="835"/>
      <c r="M1940" s="835"/>
      <c r="N1940" s="835"/>
      <c r="O1940" s="835"/>
      <c r="P1940" s="835"/>
      <c r="Q1940" s="540"/>
      <c r="R1940" s="540"/>
      <c r="S1940" s="540"/>
      <c r="T1940" s="540"/>
      <c r="U1940" s="540"/>
      <c r="V1940" s="540"/>
      <c r="W1940" s="540"/>
      <c r="X1940" s="540"/>
      <c r="Y1940" s="540"/>
      <c r="Z1940" s="540"/>
    </row>
    <row r="1941" spans="1:26" ht="19">
      <c r="A1941" s="631"/>
      <c r="B1941" s="631"/>
      <c r="C1941" s="631"/>
      <c r="D1941" s="832"/>
      <c r="E1941" s="631"/>
      <c r="F1941" s="631"/>
      <c r="G1941" s="631"/>
      <c r="H1941" s="833"/>
      <c r="I1941" s="834"/>
      <c r="J1941" s="834"/>
      <c r="K1941" s="835"/>
      <c r="L1941" s="835"/>
      <c r="M1941" s="835"/>
      <c r="N1941" s="835"/>
      <c r="O1941" s="835"/>
      <c r="P1941" s="835"/>
      <c r="Q1941" s="540"/>
      <c r="R1941" s="540"/>
      <c r="S1941" s="540"/>
      <c r="T1941" s="540"/>
      <c r="U1941" s="540"/>
      <c r="V1941" s="540"/>
      <c r="W1941" s="540"/>
      <c r="X1941" s="540"/>
      <c r="Y1941" s="540"/>
      <c r="Z1941" s="540"/>
    </row>
    <row r="1942" spans="1:26" ht="19">
      <c r="A1942" s="631"/>
      <c r="B1942" s="631"/>
      <c r="C1942" s="631"/>
      <c r="D1942" s="832"/>
      <c r="E1942" s="631"/>
      <c r="F1942" s="631"/>
      <c r="G1942" s="631"/>
      <c r="H1942" s="833"/>
      <c r="I1942" s="834"/>
      <c r="J1942" s="834"/>
      <c r="K1942" s="835"/>
      <c r="L1942" s="835"/>
      <c r="M1942" s="835"/>
      <c r="N1942" s="835"/>
      <c r="O1942" s="835"/>
      <c r="P1942" s="835"/>
      <c r="Q1942" s="540"/>
      <c r="R1942" s="540"/>
      <c r="S1942" s="540"/>
      <c r="T1942" s="540"/>
      <c r="U1942" s="540"/>
      <c r="V1942" s="540"/>
      <c r="W1942" s="540"/>
      <c r="X1942" s="540"/>
      <c r="Y1942" s="540"/>
      <c r="Z1942" s="540"/>
    </row>
    <row r="1943" spans="1:26" ht="19">
      <c r="A1943" s="631"/>
      <c r="B1943" s="631"/>
      <c r="C1943" s="631"/>
      <c r="D1943" s="832"/>
      <c r="E1943" s="631"/>
      <c r="F1943" s="631"/>
      <c r="G1943" s="631"/>
      <c r="H1943" s="833"/>
      <c r="I1943" s="834"/>
      <c r="J1943" s="834"/>
      <c r="K1943" s="835"/>
      <c r="L1943" s="835"/>
      <c r="M1943" s="835"/>
      <c r="N1943" s="835"/>
      <c r="O1943" s="835"/>
      <c r="P1943" s="835"/>
      <c r="Q1943" s="540"/>
      <c r="R1943" s="540"/>
      <c r="S1943" s="540"/>
      <c r="T1943" s="540"/>
      <c r="U1943" s="540"/>
      <c r="V1943" s="540"/>
      <c r="W1943" s="540"/>
      <c r="X1943" s="540"/>
      <c r="Y1943" s="540"/>
      <c r="Z1943" s="540"/>
    </row>
    <row r="1944" spans="1:26" ht="19">
      <c r="A1944" s="631"/>
      <c r="B1944" s="631"/>
      <c r="C1944" s="631"/>
      <c r="D1944" s="832"/>
      <c r="E1944" s="631"/>
      <c r="F1944" s="631"/>
      <c r="G1944" s="631"/>
      <c r="H1944" s="833"/>
      <c r="I1944" s="834"/>
      <c r="J1944" s="834"/>
      <c r="K1944" s="835"/>
      <c r="L1944" s="835"/>
      <c r="M1944" s="835"/>
      <c r="N1944" s="835"/>
      <c r="O1944" s="835"/>
      <c r="P1944" s="835"/>
      <c r="Q1944" s="540"/>
      <c r="R1944" s="540"/>
      <c r="S1944" s="540"/>
      <c r="T1944" s="540"/>
      <c r="U1944" s="540"/>
      <c r="V1944" s="540"/>
      <c r="W1944" s="540"/>
      <c r="X1944" s="540"/>
      <c r="Y1944" s="540"/>
      <c r="Z1944" s="540"/>
    </row>
    <row r="1945" spans="1:26" ht="19">
      <c r="A1945" s="631"/>
      <c r="B1945" s="631"/>
      <c r="C1945" s="631"/>
      <c r="D1945" s="832"/>
      <c r="E1945" s="631"/>
      <c r="F1945" s="631"/>
      <c r="G1945" s="631"/>
      <c r="H1945" s="833"/>
      <c r="I1945" s="834"/>
      <c r="J1945" s="834"/>
      <c r="K1945" s="835"/>
      <c r="L1945" s="835"/>
      <c r="M1945" s="835"/>
      <c r="N1945" s="835"/>
      <c r="O1945" s="835"/>
      <c r="P1945" s="835"/>
      <c r="Q1945" s="540"/>
      <c r="R1945" s="540"/>
      <c r="S1945" s="540"/>
      <c r="T1945" s="540"/>
      <c r="U1945" s="540"/>
      <c r="V1945" s="540"/>
      <c r="W1945" s="540"/>
      <c r="X1945" s="540"/>
      <c r="Y1945" s="540"/>
      <c r="Z1945" s="540"/>
    </row>
    <row r="1946" spans="1:26" ht="19">
      <c r="A1946" s="631"/>
      <c r="B1946" s="631"/>
      <c r="C1946" s="631"/>
      <c r="D1946" s="832"/>
      <c r="E1946" s="631"/>
      <c r="F1946" s="631"/>
      <c r="G1946" s="631"/>
      <c r="H1946" s="833"/>
      <c r="I1946" s="834"/>
      <c r="J1946" s="834"/>
      <c r="K1946" s="835"/>
      <c r="L1946" s="835"/>
      <c r="M1946" s="835"/>
      <c r="N1946" s="835"/>
      <c r="O1946" s="835"/>
      <c r="P1946" s="835"/>
      <c r="Q1946" s="540"/>
      <c r="R1946" s="540"/>
      <c r="S1946" s="540"/>
      <c r="T1946" s="540"/>
      <c r="U1946" s="540"/>
      <c r="V1946" s="540"/>
      <c r="W1946" s="540"/>
      <c r="X1946" s="540"/>
      <c r="Y1946" s="540"/>
      <c r="Z1946" s="540"/>
    </row>
    <row r="1947" spans="1:26" ht="19">
      <c r="A1947" s="631"/>
      <c r="B1947" s="631"/>
      <c r="C1947" s="631"/>
      <c r="D1947" s="832"/>
      <c r="E1947" s="631"/>
      <c r="F1947" s="631"/>
      <c r="G1947" s="631"/>
      <c r="H1947" s="833"/>
      <c r="I1947" s="834"/>
      <c r="J1947" s="834"/>
      <c r="K1947" s="835"/>
      <c r="L1947" s="835"/>
      <c r="M1947" s="835"/>
      <c r="N1947" s="835"/>
      <c r="O1947" s="835"/>
      <c r="P1947" s="835"/>
      <c r="Q1947" s="540"/>
      <c r="R1947" s="540"/>
      <c r="S1947" s="540"/>
      <c r="T1947" s="540"/>
      <c r="U1947" s="540"/>
      <c r="V1947" s="540"/>
      <c r="W1947" s="540"/>
      <c r="X1947" s="540"/>
      <c r="Y1947" s="540"/>
      <c r="Z1947" s="540"/>
    </row>
    <row r="1948" spans="1:26" ht="19">
      <c r="A1948" s="631"/>
      <c r="B1948" s="631"/>
      <c r="C1948" s="631"/>
      <c r="D1948" s="832"/>
      <c r="E1948" s="631"/>
      <c r="F1948" s="631"/>
      <c r="G1948" s="631"/>
      <c r="H1948" s="833"/>
      <c r="I1948" s="834"/>
      <c r="J1948" s="834"/>
      <c r="K1948" s="835"/>
      <c r="L1948" s="835"/>
      <c r="M1948" s="835"/>
      <c r="N1948" s="835"/>
      <c r="O1948" s="835"/>
      <c r="P1948" s="835"/>
      <c r="Q1948" s="540"/>
      <c r="R1948" s="540"/>
      <c r="S1948" s="540"/>
      <c r="T1948" s="540"/>
      <c r="U1948" s="540"/>
      <c r="V1948" s="540"/>
      <c r="W1948" s="540"/>
      <c r="X1948" s="540"/>
      <c r="Y1948" s="540"/>
      <c r="Z1948" s="540"/>
    </row>
    <row r="1949" spans="1:26" ht="19">
      <c r="A1949" s="631"/>
      <c r="B1949" s="631"/>
      <c r="C1949" s="631"/>
      <c r="D1949" s="832"/>
      <c r="E1949" s="631"/>
      <c r="F1949" s="631"/>
      <c r="G1949" s="631"/>
      <c r="H1949" s="833"/>
      <c r="I1949" s="834"/>
      <c r="J1949" s="834"/>
      <c r="K1949" s="835"/>
      <c r="L1949" s="835"/>
      <c r="M1949" s="835"/>
      <c r="N1949" s="835"/>
      <c r="O1949" s="835"/>
      <c r="P1949" s="835"/>
      <c r="Q1949" s="540"/>
      <c r="R1949" s="540"/>
      <c r="S1949" s="540"/>
      <c r="T1949" s="540"/>
      <c r="U1949" s="540"/>
      <c r="V1949" s="540"/>
      <c r="W1949" s="540"/>
      <c r="X1949" s="540"/>
      <c r="Y1949" s="540"/>
      <c r="Z1949" s="540"/>
    </row>
    <row r="1950" spans="1:26" ht="19">
      <c r="A1950" s="631"/>
      <c r="B1950" s="631"/>
      <c r="C1950" s="631"/>
      <c r="D1950" s="832"/>
      <c r="E1950" s="631"/>
      <c r="F1950" s="631"/>
      <c r="G1950" s="631"/>
      <c r="H1950" s="833"/>
      <c r="I1950" s="834"/>
      <c r="J1950" s="834"/>
      <c r="K1950" s="835"/>
      <c r="L1950" s="835"/>
      <c r="M1950" s="835"/>
      <c r="N1950" s="835"/>
      <c r="O1950" s="835"/>
      <c r="P1950" s="835"/>
      <c r="Q1950" s="540"/>
      <c r="R1950" s="540"/>
      <c r="S1950" s="540"/>
      <c r="T1950" s="540"/>
      <c r="U1950" s="540"/>
      <c r="V1950" s="540"/>
      <c r="W1950" s="540"/>
      <c r="X1950" s="540"/>
      <c r="Y1950" s="540"/>
      <c r="Z1950" s="540"/>
    </row>
    <row r="1951" spans="1:26" ht="19">
      <c r="A1951" s="631"/>
      <c r="B1951" s="631"/>
      <c r="C1951" s="631"/>
      <c r="D1951" s="832"/>
      <c r="E1951" s="631"/>
      <c r="F1951" s="631"/>
      <c r="G1951" s="631"/>
      <c r="H1951" s="833"/>
      <c r="I1951" s="834"/>
      <c r="J1951" s="834"/>
      <c r="K1951" s="835"/>
      <c r="L1951" s="835"/>
      <c r="M1951" s="835"/>
      <c r="N1951" s="835"/>
      <c r="O1951" s="835"/>
      <c r="P1951" s="835"/>
      <c r="Q1951" s="540"/>
      <c r="R1951" s="540"/>
      <c r="S1951" s="540"/>
      <c r="T1951" s="540"/>
      <c r="U1951" s="540"/>
      <c r="V1951" s="540"/>
      <c r="W1951" s="540"/>
      <c r="X1951" s="540"/>
      <c r="Y1951" s="540"/>
      <c r="Z1951" s="540"/>
    </row>
    <row r="1952" spans="1:26" ht="19">
      <c r="A1952" s="631"/>
      <c r="B1952" s="631"/>
      <c r="C1952" s="631"/>
      <c r="D1952" s="832"/>
      <c r="E1952" s="631"/>
      <c r="F1952" s="631"/>
      <c r="G1952" s="631"/>
      <c r="H1952" s="833"/>
      <c r="I1952" s="834"/>
      <c r="J1952" s="834"/>
      <c r="K1952" s="835"/>
      <c r="L1952" s="835"/>
      <c r="M1952" s="835"/>
      <c r="N1952" s="835"/>
      <c r="O1952" s="835"/>
      <c r="P1952" s="835"/>
      <c r="Q1952" s="540"/>
      <c r="R1952" s="540"/>
      <c r="S1952" s="540"/>
      <c r="T1952" s="540"/>
      <c r="U1952" s="540"/>
      <c r="V1952" s="540"/>
      <c r="W1952" s="540"/>
      <c r="X1952" s="540"/>
      <c r="Y1952" s="540"/>
      <c r="Z1952" s="540"/>
    </row>
    <row r="1953" spans="1:26" ht="19">
      <c r="A1953" s="631"/>
      <c r="B1953" s="631"/>
      <c r="C1953" s="631"/>
      <c r="D1953" s="832"/>
      <c r="E1953" s="631"/>
      <c r="F1953" s="631"/>
      <c r="G1953" s="631"/>
      <c r="H1953" s="833"/>
      <c r="I1953" s="834"/>
      <c r="J1953" s="834"/>
      <c r="K1953" s="835"/>
      <c r="L1953" s="835"/>
      <c r="M1953" s="835"/>
      <c r="N1953" s="835"/>
      <c r="O1953" s="835"/>
      <c r="P1953" s="835"/>
      <c r="Q1953" s="540"/>
      <c r="R1953" s="540"/>
      <c r="S1953" s="540"/>
      <c r="T1953" s="540"/>
      <c r="U1953" s="540"/>
      <c r="V1953" s="540"/>
      <c r="W1953" s="540"/>
      <c r="X1953" s="540"/>
      <c r="Y1953" s="540"/>
      <c r="Z1953" s="540"/>
    </row>
    <row r="1954" spans="1:26" ht="19">
      <c r="A1954" s="631"/>
      <c r="B1954" s="631"/>
      <c r="C1954" s="631"/>
      <c r="D1954" s="832"/>
      <c r="E1954" s="631"/>
      <c r="F1954" s="631"/>
      <c r="G1954" s="631"/>
      <c r="H1954" s="833"/>
      <c r="I1954" s="834"/>
      <c r="J1954" s="834"/>
      <c r="K1954" s="835"/>
      <c r="L1954" s="835"/>
      <c r="M1954" s="835"/>
      <c r="N1954" s="835"/>
      <c r="O1954" s="835"/>
      <c r="P1954" s="835"/>
      <c r="Q1954" s="540"/>
      <c r="R1954" s="540"/>
      <c r="S1954" s="540"/>
      <c r="T1954" s="540"/>
      <c r="U1954" s="540"/>
      <c r="V1954" s="540"/>
      <c r="W1954" s="540"/>
      <c r="X1954" s="540"/>
      <c r="Y1954" s="540"/>
      <c r="Z1954" s="540"/>
    </row>
    <row r="1955" spans="1:26" ht="19">
      <c r="A1955" s="631"/>
      <c r="B1955" s="631"/>
      <c r="C1955" s="631"/>
      <c r="D1955" s="832"/>
      <c r="E1955" s="631"/>
      <c r="F1955" s="631"/>
      <c r="G1955" s="631"/>
      <c r="H1955" s="833"/>
      <c r="I1955" s="834"/>
      <c r="J1955" s="834"/>
      <c r="K1955" s="835"/>
      <c r="L1955" s="835"/>
      <c r="M1955" s="835"/>
      <c r="N1955" s="835"/>
      <c r="O1955" s="835"/>
      <c r="P1955" s="835"/>
      <c r="Q1955" s="540"/>
      <c r="R1955" s="540"/>
      <c r="S1955" s="540"/>
      <c r="T1955" s="540"/>
      <c r="U1955" s="540"/>
      <c r="V1955" s="540"/>
      <c r="W1955" s="540"/>
      <c r="X1955" s="540"/>
      <c r="Y1955" s="540"/>
      <c r="Z1955" s="540"/>
    </row>
    <row r="1956" spans="1:26" ht="19">
      <c r="A1956" s="631"/>
      <c r="B1956" s="631"/>
      <c r="C1956" s="631"/>
      <c r="D1956" s="832"/>
      <c r="E1956" s="631"/>
      <c r="F1956" s="631"/>
      <c r="G1956" s="631"/>
      <c r="H1956" s="833"/>
      <c r="I1956" s="834"/>
      <c r="J1956" s="834"/>
      <c r="K1956" s="835"/>
      <c r="L1956" s="835"/>
      <c r="M1956" s="835"/>
      <c r="N1956" s="835"/>
      <c r="O1956" s="835"/>
      <c r="P1956" s="835"/>
      <c r="Q1956" s="540"/>
      <c r="R1956" s="540"/>
      <c r="S1956" s="540"/>
      <c r="T1956" s="540"/>
      <c r="U1956" s="540"/>
      <c r="V1956" s="540"/>
      <c r="W1956" s="540"/>
      <c r="X1956" s="540"/>
      <c r="Y1956" s="540"/>
      <c r="Z1956" s="540"/>
    </row>
    <row r="1957" spans="1:26" ht="19">
      <c r="A1957" s="631"/>
      <c r="B1957" s="631"/>
      <c r="C1957" s="631"/>
      <c r="D1957" s="832"/>
      <c r="E1957" s="631"/>
      <c r="F1957" s="631"/>
      <c r="G1957" s="631"/>
      <c r="H1957" s="833"/>
      <c r="I1957" s="834"/>
      <c r="J1957" s="834"/>
      <c r="K1957" s="835"/>
      <c r="L1957" s="835"/>
      <c r="M1957" s="835"/>
      <c r="N1957" s="835"/>
      <c r="O1957" s="835"/>
      <c r="P1957" s="835"/>
      <c r="Q1957" s="540"/>
      <c r="R1957" s="540"/>
      <c r="S1957" s="540"/>
      <c r="T1957" s="540"/>
      <c r="U1957" s="540"/>
      <c r="V1957" s="540"/>
      <c r="W1957" s="540"/>
      <c r="X1957" s="540"/>
      <c r="Y1957" s="540"/>
      <c r="Z1957" s="540"/>
    </row>
    <row r="1958" spans="1:26" ht="19">
      <c r="A1958" s="631"/>
      <c r="B1958" s="631"/>
      <c r="C1958" s="631"/>
      <c r="D1958" s="832"/>
      <c r="E1958" s="631"/>
      <c r="F1958" s="631"/>
      <c r="G1958" s="631"/>
      <c r="H1958" s="833"/>
      <c r="I1958" s="834"/>
      <c r="J1958" s="834"/>
      <c r="K1958" s="835"/>
      <c r="L1958" s="835"/>
      <c r="M1958" s="835"/>
      <c r="N1958" s="835"/>
      <c r="O1958" s="835"/>
      <c r="P1958" s="835"/>
      <c r="Q1958" s="540"/>
      <c r="R1958" s="540"/>
      <c r="S1958" s="540"/>
      <c r="T1958" s="540"/>
      <c r="U1958" s="540"/>
      <c r="V1958" s="540"/>
      <c r="W1958" s="540"/>
      <c r="X1958" s="540"/>
      <c r="Y1958" s="540"/>
      <c r="Z1958" s="540"/>
    </row>
    <row r="1959" spans="1:26" ht="19">
      <c r="A1959" s="631"/>
      <c r="B1959" s="631"/>
      <c r="C1959" s="631"/>
      <c r="D1959" s="832"/>
      <c r="E1959" s="631"/>
      <c r="F1959" s="631"/>
      <c r="G1959" s="631"/>
      <c r="H1959" s="833"/>
      <c r="I1959" s="834"/>
      <c r="J1959" s="834"/>
      <c r="K1959" s="835"/>
      <c r="L1959" s="835"/>
      <c r="M1959" s="835"/>
      <c r="N1959" s="835"/>
      <c r="O1959" s="835"/>
      <c r="P1959" s="835"/>
      <c r="Q1959" s="540"/>
      <c r="R1959" s="540"/>
      <c r="S1959" s="540"/>
      <c r="T1959" s="540"/>
      <c r="U1959" s="540"/>
      <c r="V1959" s="540"/>
      <c r="W1959" s="540"/>
      <c r="X1959" s="540"/>
      <c r="Y1959" s="540"/>
      <c r="Z1959" s="540"/>
    </row>
    <row r="1960" spans="1:26" ht="19">
      <c r="A1960" s="631"/>
      <c r="B1960" s="631"/>
      <c r="C1960" s="631"/>
      <c r="D1960" s="832"/>
      <c r="E1960" s="631"/>
      <c r="F1960" s="631"/>
      <c r="G1960" s="631"/>
      <c r="H1960" s="833"/>
      <c r="I1960" s="834"/>
      <c r="J1960" s="834"/>
      <c r="K1960" s="835"/>
      <c r="L1960" s="835"/>
      <c r="M1960" s="835"/>
      <c r="N1960" s="835"/>
      <c r="O1960" s="835"/>
      <c r="P1960" s="835"/>
      <c r="Q1960" s="540"/>
      <c r="R1960" s="540"/>
      <c r="S1960" s="540"/>
      <c r="T1960" s="540"/>
      <c r="U1960" s="540"/>
      <c r="V1960" s="540"/>
      <c r="W1960" s="540"/>
      <c r="X1960" s="540"/>
      <c r="Y1960" s="540"/>
      <c r="Z1960" s="540"/>
    </row>
    <row r="1961" spans="1:26" ht="19">
      <c r="A1961" s="631"/>
      <c r="B1961" s="631"/>
      <c r="C1961" s="631"/>
      <c r="D1961" s="832"/>
      <c r="E1961" s="631"/>
      <c r="F1961" s="631"/>
      <c r="G1961" s="631"/>
      <c r="H1961" s="833"/>
      <c r="I1961" s="834"/>
      <c r="J1961" s="834"/>
      <c r="K1961" s="835"/>
      <c r="L1961" s="835"/>
      <c r="M1961" s="835"/>
      <c r="N1961" s="835"/>
      <c r="O1961" s="835"/>
      <c r="P1961" s="835"/>
      <c r="Q1961" s="540"/>
      <c r="R1961" s="540"/>
      <c r="S1961" s="540"/>
      <c r="T1961" s="540"/>
      <c r="U1961" s="540"/>
      <c r="V1961" s="540"/>
      <c r="W1961" s="540"/>
      <c r="X1961" s="540"/>
      <c r="Y1961" s="540"/>
      <c r="Z1961" s="540"/>
    </row>
    <row r="1962" spans="1:26" ht="19">
      <c r="A1962" s="631"/>
      <c r="B1962" s="631"/>
      <c r="C1962" s="631"/>
      <c r="D1962" s="832"/>
      <c r="E1962" s="631"/>
      <c r="F1962" s="631"/>
      <c r="G1962" s="631"/>
      <c r="H1962" s="833"/>
      <c r="I1962" s="834"/>
      <c r="J1962" s="834"/>
      <c r="K1962" s="835"/>
      <c r="L1962" s="835"/>
      <c r="M1962" s="835"/>
      <c r="N1962" s="835"/>
      <c r="O1962" s="835"/>
      <c r="P1962" s="835"/>
      <c r="Q1962" s="540"/>
      <c r="R1962" s="540"/>
      <c r="S1962" s="540"/>
      <c r="T1962" s="540"/>
      <c r="U1962" s="540"/>
      <c r="V1962" s="540"/>
      <c r="W1962" s="540"/>
      <c r="X1962" s="540"/>
      <c r="Y1962" s="540"/>
      <c r="Z1962" s="540"/>
    </row>
    <row r="1963" spans="1:26" ht="19">
      <c r="A1963" s="631"/>
      <c r="B1963" s="631"/>
      <c r="C1963" s="631"/>
      <c r="D1963" s="832"/>
      <c r="E1963" s="631"/>
      <c r="F1963" s="631"/>
      <c r="G1963" s="631"/>
      <c r="H1963" s="833"/>
      <c r="I1963" s="834"/>
      <c r="J1963" s="834"/>
      <c r="K1963" s="835"/>
      <c r="L1963" s="835"/>
      <c r="M1963" s="835"/>
      <c r="N1963" s="835"/>
      <c r="O1963" s="835"/>
      <c r="P1963" s="835"/>
      <c r="Q1963" s="540"/>
      <c r="R1963" s="540"/>
      <c r="S1963" s="540"/>
      <c r="T1963" s="540"/>
      <c r="U1963" s="540"/>
      <c r="V1963" s="540"/>
      <c r="W1963" s="540"/>
      <c r="X1963" s="540"/>
      <c r="Y1963" s="540"/>
      <c r="Z1963" s="540"/>
    </row>
    <row r="1964" spans="1:26" ht="19">
      <c r="A1964" s="631"/>
      <c r="B1964" s="631"/>
      <c r="C1964" s="631"/>
      <c r="D1964" s="832"/>
      <c r="E1964" s="631"/>
      <c r="F1964" s="631"/>
      <c r="G1964" s="631"/>
      <c r="H1964" s="833"/>
      <c r="I1964" s="834"/>
      <c r="J1964" s="834"/>
      <c r="K1964" s="835"/>
      <c r="L1964" s="835"/>
      <c r="M1964" s="835"/>
      <c r="N1964" s="835"/>
      <c r="O1964" s="835"/>
      <c r="P1964" s="835"/>
      <c r="Q1964" s="540"/>
      <c r="R1964" s="540"/>
      <c r="S1964" s="540"/>
      <c r="T1964" s="540"/>
      <c r="U1964" s="540"/>
      <c r="V1964" s="540"/>
      <c r="W1964" s="540"/>
      <c r="X1964" s="540"/>
      <c r="Y1964" s="540"/>
      <c r="Z1964" s="540"/>
    </row>
    <row r="1965" spans="1:26" ht="19">
      <c r="A1965" s="631"/>
      <c r="B1965" s="631"/>
      <c r="C1965" s="631"/>
      <c r="D1965" s="832"/>
      <c r="E1965" s="631"/>
      <c r="F1965" s="631"/>
      <c r="G1965" s="631"/>
      <c r="H1965" s="833"/>
      <c r="I1965" s="834"/>
      <c r="J1965" s="834"/>
      <c r="K1965" s="835"/>
      <c r="L1965" s="835"/>
      <c r="M1965" s="835"/>
      <c r="N1965" s="835"/>
      <c r="O1965" s="835"/>
      <c r="P1965" s="835"/>
      <c r="Q1965" s="540"/>
      <c r="R1965" s="540"/>
      <c r="S1965" s="540"/>
      <c r="T1965" s="540"/>
      <c r="U1965" s="540"/>
      <c r="V1965" s="540"/>
      <c r="W1965" s="540"/>
      <c r="X1965" s="540"/>
      <c r="Y1965" s="540"/>
      <c r="Z1965" s="540"/>
    </row>
    <row r="1966" spans="1:26" ht="19">
      <c r="A1966" s="631"/>
      <c r="B1966" s="631"/>
      <c r="C1966" s="631"/>
      <c r="D1966" s="832"/>
      <c r="E1966" s="631"/>
      <c r="F1966" s="631"/>
      <c r="G1966" s="631"/>
      <c r="H1966" s="833"/>
      <c r="I1966" s="834"/>
      <c r="J1966" s="834"/>
      <c r="K1966" s="835"/>
      <c r="L1966" s="835"/>
      <c r="M1966" s="835"/>
      <c r="N1966" s="835"/>
      <c r="O1966" s="835"/>
      <c r="P1966" s="835"/>
      <c r="Q1966" s="540"/>
      <c r="R1966" s="540"/>
      <c r="S1966" s="540"/>
      <c r="T1966" s="540"/>
      <c r="U1966" s="540"/>
      <c r="V1966" s="540"/>
      <c r="W1966" s="540"/>
      <c r="X1966" s="540"/>
      <c r="Y1966" s="540"/>
      <c r="Z1966" s="540"/>
    </row>
    <row r="1967" spans="1:26" ht="19">
      <c r="A1967" s="631"/>
      <c r="B1967" s="631"/>
      <c r="C1967" s="631"/>
      <c r="D1967" s="832"/>
      <c r="E1967" s="631"/>
      <c r="F1967" s="631"/>
      <c r="G1967" s="631"/>
      <c r="H1967" s="833"/>
      <c r="I1967" s="834"/>
      <c r="J1967" s="834"/>
      <c r="K1967" s="835"/>
      <c r="L1967" s="835"/>
      <c r="M1967" s="835"/>
      <c r="N1967" s="835"/>
      <c r="O1967" s="835"/>
      <c r="P1967" s="835"/>
      <c r="Q1967" s="540"/>
      <c r="R1967" s="540"/>
      <c r="S1967" s="540"/>
      <c r="T1967" s="540"/>
      <c r="U1967" s="540"/>
      <c r="V1967" s="540"/>
      <c r="W1967" s="540"/>
      <c r="X1967" s="540"/>
      <c r="Y1967" s="540"/>
      <c r="Z1967" s="540"/>
    </row>
    <row r="1968" spans="1:26" ht="19">
      <c r="A1968" s="631"/>
      <c r="B1968" s="631"/>
      <c r="C1968" s="631"/>
      <c r="D1968" s="832"/>
      <c r="E1968" s="631"/>
      <c r="F1968" s="631"/>
      <c r="G1968" s="631"/>
      <c r="H1968" s="833"/>
      <c r="I1968" s="834"/>
      <c r="J1968" s="834"/>
      <c r="K1968" s="835"/>
      <c r="L1968" s="835"/>
      <c r="M1968" s="835"/>
      <c r="N1968" s="835"/>
      <c r="O1968" s="835"/>
      <c r="P1968" s="835"/>
      <c r="Q1968" s="540"/>
      <c r="R1968" s="540"/>
      <c r="S1968" s="540"/>
      <c r="T1968" s="540"/>
      <c r="U1968" s="540"/>
      <c r="V1968" s="540"/>
      <c r="W1968" s="540"/>
      <c r="X1968" s="540"/>
      <c r="Y1968" s="540"/>
      <c r="Z1968" s="540"/>
    </row>
    <row r="1969" spans="1:26" ht="19">
      <c r="A1969" s="631"/>
      <c r="B1969" s="631"/>
      <c r="C1969" s="631"/>
      <c r="D1969" s="832"/>
      <c r="E1969" s="631"/>
      <c r="F1969" s="631"/>
      <c r="G1969" s="631"/>
      <c r="H1969" s="833"/>
      <c r="I1969" s="834"/>
      <c r="J1969" s="834"/>
      <c r="K1969" s="835"/>
      <c r="L1969" s="835"/>
      <c r="M1969" s="835"/>
      <c r="N1969" s="835"/>
      <c r="O1969" s="835"/>
      <c r="P1969" s="835"/>
      <c r="Q1969" s="540"/>
      <c r="R1969" s="540"/>
      <c r="S1969" s="540"/>
      <c r="T1969" s="540"/>
      <c r="U1969" s="540"/>
      <c r="V1969" s="540"/>
      <c r="W1969" s="540"/>
      <c r="X1969" s="540"/>
      <c r="Y1969" s="540"/>
      <c r="Z1969" s="540"/>
    </row>
    <row r="1970" spans="1:26" ht="19">
      <c r="A1970" s="631"/>
      <c r="B1970" s="631"/>
      <c r="C1970" s="631"/>
      <c r="D1970" s="832"/>
      <c r="E1970" s="631"/>
      <c r="F1970" s="631"/>
      <c r="G1970" s="631"/>
      <c r="H1970" s="833"/>
      <c r="I1970" s="834"/>
      <c r="J1970" s="834"/>
      <c r="K1970" s="835"/>
      <c r="L1970" s="835"/>
      <c r="M1970" s="835"/>
      <c r="N1970" s="835"/>
      <c r="O1970" s="835"/>
      <c r="P1970" s="835"/>
      <c r="Q1970" s="540"/>
      <c r="R1970" s="540"/>
      <c r="S1970" s="540"/>
      <c r="T1970" s="540"/>
      <c r="U1970" s="540"/>
      <c r="V1970" s="540"/>
      <c r="W1970" s="540"/>
      <c r="X1970" s="540"/>
      <c r="Y1970" s="540"/>
      <c r="Z1970" s="540"/>
    </row>
    <row r="1971" spans="1:26" ht="19">
      <c r="A1971" s="631"/>
      <c r="B1971" s="631"/>
      <c r="C1971" s="631"/>
      <c r="D1971" s="832"/>
      <c r="E1971" s="631"/>
      <c r="F1971" s="631"/>
      <c r="G1971" s="631"/>
      <c r="H1971" s="833"/>
      <c r="I1971" s="834"/>
      <c r="J1971" s="834"/>
      <c r="K1971" s="835"/>
      <c r="L1971" s="835"/>
      <c r="M1971" s="835"/>
      <c r="N1971" s="835"/>
      <c r="O1971" s="835"/>
      <c r="P1971" s="835"/>
      <c r="Q1971" s="540"/>
      <c r="R1971" s="540"/>
      <c r="S1971" s="540"/>
      <c r="T1971" s="540"/>
      <c r="U1971" s="540"/>
      <c r="V1971" s="540"/>
      <c r="W1971" s="540"/>
      <c r="X1971" s="540"/>
      <c r="Y1971" s="540"/>
      <c r="Z1971" s="540"/>
    </row>
    <row r="1972" spans="1:26" ht="19">
      <c r="A1972" s="631"/>
      <c r="B1972" s="631"/>
      <c r="C1972" s="631"/>
      <c r="D1972" s="832"/>
      <c r="E1972" s="631"/>
      <c r="F1972" s="631"/>
      <c r="G1972" s="631"/>
      <c r="H1972" s="833"/>
      <c r="I1972" s="834"/>
      <c r="J1972" s="834"/>
      <c r="K1972" s="835"/>
      <c r="L1972" s="835"/>
      <c r="M1972" s="835"/>
      <c r="N1972" s="835"/>
      <c r="O1972" s="835"/>
      <c r="P1972" s="835"/>
      <c r="Q1972" s="540"/>
      <c r="R1972" s="540"/>
      <c r="S1972" s="540"/>
      <c r="T1972" s="540"/>
      <c r="U1972" s="540"/>
      <c r="V1972" s="540"/>
      <c r="W1972" s="540"/>
      <c r="X1972" s="540"/>
      <c r="Y1972" s="540"/>
      <c r="Z1972" s="540"/>
    </row>
    <row r="1973" spans="1:26" ht="19">
      <c r="A1973" s="631"/>
      <c r="B1973" s="631"/>
      <c r="C1973" s="631"/>
      <c r="D1973" s="832"/>
      <c r="E1973" s="631"/>
      <c r="F1973" s="631"/>
      <c r="G1973" s="631"/>
      <c r="H1973" s="833"/>
      <c r="I1973" s="834"/>
      <c r="J1973" s="834"/>
      <c r="K1973" s="835"/>
      <c r="L1973" s="835"/>
      <c r="M1973" s="835"/>
      <c r="N1973" s="835"/>
      <c r="O1973" s="835"/>
      <c r="P1973" s="835"/>
      <c r="Q1973" s="540"/>
      <c r="R1973" s="540"/>
      <c r="S1973" s="540"/>
      <c r="T1973" s="540"/>
      <c r="U1973" s="540"/>
      <c r="V1973" s="540"/>
      <c r="W1973" s="540"/>
      <c r="X1973" s="540"/>
      <c r="Y1973" s="540"/>
      <c r="Z1973" s="540"/>
    </row>
    <row r="1974" spans="1:26" ht="19">
      <c r="A1974" s="631"/>
      <c r="B1974" s="631"/>
      <c r="C1974" s="631"/>
      <c r="D1974" s="832"/>
      <c r="E1974" s="631"/>
      <c r="F1974" s="631"/>
      <c r="G1974" s="631"/>
      <c r="H1974" s="833"/>
      <c r="I1974" s="834"/>
      <c r="J1974" s="834"/>
      <c r="K1974" s="835"/>
      <c r="L1974" s="835"/>
      <c r="M1974" s="835"/>
      <c r="N1974" s="835"/>
      <c r="O1974" s="835"/>
      <c r="P1974" s="835"/>
      <c r="Q1974" s="540"/>
      <c r="R1974" s="540"/>
      <c r="S1974" s="540"/>
      <c r="T1974" s="540"/>
      <c r="U1974" s="540"/>
      <c r="V1974" s="540"/>
      <c r="W1974" s="540"/>
      <c r="X1974" s="540"/>
      <c r="Y1974" s="540"/>
      <c r="Z1974" s="540"/>
    </row>
    <row r="1975" spans="1:26" ht="19">
      <c r="A1975" s="631"/>
      <c r="B1975" s="631"/>
      <c r="C1975" s="631"/>
      <c r="D1975" s="832"/>
      <c r="E1975" s="631"/>
      <c r="F1975" s="631"/>
      <c r="G1975" s="631"/>
      <c r="H1975" s="833"/>
      <c r="I1975" s="834"/>
      <c r="J1975" s="834"/>
      <c r="K1975" s="835"/>
      <c r="L1975" s="835"/>
      <c r="M1975" s="835"/>
      <c r="N1975" s="835"/>
      <c r="O1975" s="835"/>
      <c r="P1975" s="835"/>
      <c r="Q1975" s="540"/>
      <c r="R1975" s="540"/>
      <c r="S1975" s="540"/>
      <c r="T1975" s="540"/>
      <c r="U1975" s="540"/>
      <c r="V1975" s="540"/>
      <c r="W1975" s="540"/>
      <c r="X1975" s="540"/>
      <c r="Y1975" s="540"/>
      <c r="Z1975" s="540"/>
    </row>
    <row r="1976" spans="1:26" ht="19">
      <c r="A1976" s="631"/>
      <c r="B1976" s="631"/>
      <c r="C1976" s="631"/>
      <c r="D1976" s="832"/>
      <c r="E1976" s="631"/>
      <c r="F1976" s="631"/>
      <c r="G1976" s="631"/>
      <c r="H1976" s="833"/>
      <c r="I1976" s="834"/>
      <c r="J1976" s="834"/>
      <c r="K1976" s="835"/>
      <c r="L1976" s="835"/>
      <c r="M1976" s="835"/>
      <c r="N1976" s="835"/>
      <c r="O1976" s="835"/>
      <c r="P1976" s="835"/>
      <c r="Q1976" s="540"/>
      <c r="R1976" s="540"/>
      <c r="S1976" s="540"/>
      <c r="T1976" s="540"/>
      <c r="U1976" s="540"/>
      <c r="V1976" s="540"/>
      <c r="W1976" s="540"/>
      <c r="X1976" s="540"/>
      <c r="Y1976" s="540"/>
      <c r="Z1976" s="540"/>
    </row>
    <row r="1977" spans="1:26" ht="19">
      <c r="A1977" s="631"/>
      <c r="B1977" s="631"/>
      <c r="C1977" s="631"/>
      <c r="D1977" s="832"/>
      <c r="E1977" s="631"/>
      <c r="F1977" s="631"/>
      <c r="G1977" s="631"/>
      <c r="H1977" s="833"/>
      <c r="I1977" s="834"/>
      <c r="J1977" s="834"/>
      <c r="K1977" s="835"/>
      <c r="L1977" s="835"/>
      <c r="M1977" s="835"/>
      <c r="N1977" s="835"/>
      <c r="O1977" s="835"/>
      <c r="P1977" s="835"/>
      <c r="Q1977" s="540"/>
      <c r="R1977" s="540"/>
      <c r="S1977" s="540"/>
      <c r="T1977" s="540"/>
      <c r="U1977" s="540"/>
      <c r="V1977" s="540"/>
      <c r="W1977" s="540"/>
      <c r="X1977" s="540"/>
      <c r="Y1977" s="540"/>
      <c r="Z1977" s="540"/>
    </row>
    <row r="1978" spans="1:26" ht="19">
      <c r="A1978" s="631"/>
      <c r="B1978" s="631"/>
      <c r="C1978" s="631"/>
      <c r="D1978" s="832"/>
      <c r="E1978" s="631"/>
      <c r="F1978" s="631"/>
      <c r="G1978" s="631"/>
      <c r="H1978" s="833"/>
      <c r="I1978" s="834"/>
      <c r="J1978" s="834"/>
      <c r="K1978" s="835"/>
      <c r="L1978" s="835"/>
      <c r="M1978" s="835"/>
      <c r="N1978" s="835"/>
      <c r="O1978" s="835"/>
      <c r="P1978" s="835"/>
      <c r="Q1978" s="540"/>
      <c r="R1978" s="540"/>
      <c r="S1978" s="540"/>
      <c r="T1978" s="540"/>
      <c r="U1978" s="540"/>
      <c r="V1978" s="540"/>
      <c r="W1978" s="540"/>
      <c r="X1978" s="540"/>
      <c r="Y1978" s="540"/>
      <c r="Z1978" s="540"/>
    </row>
    <row r="1979" spans="1:26" ht="19">
      <c r="A1979" s="631"/>
      <c r="B1979" s="631"/>
      <c r="C1979" s="631"/>
      <c r="D1979" s="832"/>
      <c r="E1979" s="631"/>
      <c r="F1979" s="631"/>
      <c r="G1979" s="631"/>
      <c r="H1979" s="833"/>
      <c r="I1979" s="834"/>
      <c r="J1979" s="834"/>
      <c r="K1979" s="835"/>
      <c r="L1979" s="835"/>
      <c r="M1979" s="835"/>
      <c r="N1979" s="835"/>
      <c r="O1979" s="835"/>
      <c r="P1979" s="835"/>
      <c r="Q1979" s="540"/>
      <c r="R1979" s="540"/>
      <c r="S1979" s="540"/>
      <c r="T1979" s="540"/>
      <c r="U1979" s="540"/>
      <c r="V1979" s="540"/>
      <c r="W1979" s="540"/>
      <c r="X1979" s="540"/>
      <c r="Y1979" s="540"/>
      <c r="Z1979" s="540"/>
    </row>
    <row r="1980" spans="1:26" ht="19">
      <c r="A1980" s="631"/>
      <c r="B1980" s="631"/>
      <c r="C1980" s="631"/>
      <c r="D1980" s="832"/>
      <c r="E1980" s="631"/>
      <c r="F1980" s="631"/>
      <c r="G1980" s="631"/>
      <c r="H1980" s="833"/>
      <c r="I1980" s="834"/>
      <c r="J1980" s="834"/>
      <c r="K1980" s="835"/>
      <c r="L1980" s="835"/>
      <c r="M1980" s="835"/>
      <c r="N1980" s="835"/>
      <c r="O1980" s="835"/>
      <c r="P1980" s="835"/>
      <c r="Q1980" s="540"/>
      <c r="R1980" s="540"/>
      <c r="S1980" s="540"/>
      <c r="T1980" s="540"/>
      <c r="U1980" s="540"/>
      <c r="V1980" s="540"/>
      <c r="W1980" s="540"/>
      <c r="X1980" s="540"/>
      <c r="Y1980" s="540"/>
      <c r="Z1980" s="540"/>
    </row>
    <row r="1981" spans="1:26" ht="19">
      <c r="A1981" s="631"/>
      <c r="B1981" s="631"/>
      <c r="C1981" s="631"/>
      <c r="D1981" s="832"/>
      <c r="E1981" s="631"/>
      <c r="F1981" s="631"/>
      <c r="G1981" s="631"/>
      <c r="H1981" s="833"/>
      <c r="I1981" s="834"/>
      <c r="J1981" s="834"/>
      <c r="K1981" s="835"/>
      <c r="L1981" s="835"/>
      <c r="M1981" s="835"/>
      <c r="N1981" s="835"/>
      <c r="O1981" s="835"/>
      <c r="P1981" s="835"/>
      <c r="Q1981" s="540"/>
      <c r="R1981" s="540"/>
      <c r="S1981" s="540"/>
      <c r="T1981" s="540"/>
      <c r="U1981" s="540"/>
      <c r="V1981" s="540"/>
      <c r="W1981" s="540"/>
      <c r="X1981" s="540"/>
      <c r="Y1981" s="540"/>
      <c r="Z1981" s="540"/>
    </row>
    <row r="1982" spans="1:26" ht="19">
      <c r="A1982" s="631"/>
      <c r="B1982" s="631"/>
      <c r="C1982" s="631"/>
      <c r="D1982" s="832"/>
      <c r="E1982" s="631"/>
      <c r="F1982" s="631"/>
      <c r="G1982" s="631"/>
      <c r="H1982" s="833"/>
      <c r="I1982" s="834"/>
      <c r="J1982" s="834"/>
      <c r="K1982" s="835"/>
      <c r="L1982" s="835"/>
      <c r="M1982" s="835"/>
      <c r="N1982" s="835"/>
      <c r="O1982" s="835"/>
      <c r="P1982" s="835"/>
      <c r="Q1982" s="540"/>
      <c r="R1982" s="540"/>
      <c r="S1982" s="540"/>
      <c r="T1982" s="540"/>
      <c r="U1982" s="540"/>
      <c r="V1982" s="540"/>
      <c r="W1982" s="540"/>
      <c r="X1982" s="540"/>
      <c r="Y1982" s="540"/>
      <c r="Z1982" s="540"/>
    </row>
    <row r="1983" spans="1:26" ht="19">
      <c r="A1983" s="631"/>
      <c r="B1983" s="631"/>
      <c r="C1983" s="631"/>
      <c r="D1983" s="832"/>
      <c r="E1983" s="631"/>
      <c r="F1983" s="631"/>
      <c r="G1983" s="631"/>
      <c r="H1983" s="833"/>
      <c r="I1983" s="834"/>
      <c r="J1983" s="834"/>
      <c r="K1983" s="835"/>
      <c r="L1983" s="835"/>
      <c r="M1983" s="835"/>
      <c r="N1983" s="835"/>
      <c r="O1983" s="835"/>
      <c r="P1983" s="835"/>
      <c r="Q1983" s="540"/>
      <c r="R1983" s="540"/>
      <c r="S1983" s="540"/>
      <c r="T1983" s="540"/>
      <c r="U1983" s="540"/>
      <c r="V1983" s="540"/>
      <c r="W1983" s="540"/>
      <c r="X1983" s="540"/>
      <c r="Y1983" s="540"/>
      <c r="Z1983" s="540"/>
    </row>
    <row r="1984" spans="1:26" ht="19">
      <c r="A1984" s="631"/>
      <c r="B1984" s="631"/>
      <c r="C1984" s="631"/>
      <c r="D1984" s="832"/>
      <c r="E1984" s="631"/>
      <c r="F1984" s="631"/>
      <c r="G1984" s="631"/>
      <c r="H1984" s="833"/>
      <c r="I1984" s="834"/>
      <c r="J1984" s="834"/>
      <c r="K1984" s="835"/>
      <c r="L1984" s="835"/>
      <c r="M1984" s="835"/>
      <c r="N1984" s="835"/>
      <c r="O1984" s="835"/>
      <c r="P1984" s="835"/>
      <c r="Q1984" s="540"/>
      <c r="R1984" s="540"/>
      <c r="S1984" s="540"/>
      <c r="T1984" s="540"/>
      <c r="U1984" s="540"/>
      <c r="V1984" s="540"/>
      <c r="W1984" s="540"/>
      <c r="X1984" s="540"/>
      <c r="Y1984" s="540"/>
      <c r="Z1984" s="540"/>
    </row>
    <row r="1985" spans="1:26" ht="19">
      <c r="A1985" s="631"/>
      <c r="B1985" s="631"/>
      <c r="C1985" s="631"/>
      <c r="D1985" s="832"/>
      <c r="E1985" s="631"/>
      <c r="F1985" s="631"/>
      <c r="G1985" s="631"/>
      <c r="H1985" s="833"/>
      <c r="I1985" s="834"/>
      <c r="J1985" s="834"/>
      <c r="K1985" s="835"/>
      <c r="L1985" s="835"/>
      <c r="M1985" s="835"/>
      <c r="N1985" s="835"/>
      <c r="O1985" s="835"/>
      <c r="P1985" s="835"/>
      <c r="Q1985" s="540"/>
      <c r="R1985" s="540"/>
      <c r="S1985" s="540"/>
      <c r="T1985" s="540"/>
      <c r="U1985" s="540"/>
      <c r="V1985" s="540"/>
      <c r="W1985" s="540"/>
      <c r="X1985" s="540"/>
      <c r="Y1985" s="540"/>
      <c r="Z1985" s="540"/>
    </row>
    <row r="1986" spans="1:26" ht="19">
      <c r="A1986" s="631"/>
      <c r="B1986" s="631"/>
      <c r="C1986" s="631"/>
      <c r="D1986" s="832"/>
      <c r="E1986" s="631"/>
      <c r="F1986" s="631"/>
      <c r="G1986" s="631"/>
      <c r="H1986" s="833"/>
      <c r="I1986" s="834"/>
      <c r="J1986" s="834"/>
      <c r="K1986" s="835"/>
      <c r="L1986" s="835"/>
      <c r="M1986" s="835"/>
      <c r="N1986" s="835"/>
      <c r="O1986" s="835"/>
      <c r="P1986" s="835"/>
      <c r="Q1986" s="540"/>
      <c r="R1986" s="540"/>
      <c r="S1986" s="540"/>
      <c r="T1986" s="540"/>
      <c r="U1986" s="540"/>
      <c r="V1986" s="540"/>
      <c r="W1986" s="540"/>
      <c r="X1986" s="540"/>
      <c r="Y1986" s="540"/>
      <c r="Z1986" s="540"/>
    </row>
    <row r="1987" spans="1:26" ht="19">
      <c r="A1987" s="631"/>
      <c r="B1987" s="631"/>
      <c r="C1987" s="631"/>
      <c r="D1987" s="832"/>
      <c r="E1987" s="631"/>
      <c r="F1987" s="631"/>
      <c r="G1987" s="631"/>
      <c r="H1987" s="833"/>
      <c r="I1987" s="834"/>
      <c r="J1987" s="834"/>
      <c r="K1987" s="835"/>
      <c r="L1987" s="835"/>
      <c r="M1987" s="835"/>
      <c r="N1987" s="835"/>
      <c r="O1987" s="835"/>
      <c r="P1987" s="835"/>
      <c r="Q1987" s="540"/>
      <c r="R1987" s="540"/>
      <c r="S1987" s="540"/>
      <c r="T1987" s="540"/>
      <c r="U1987" s="540"/>
      <c r="V1987" s="540"/>
      <c r="W1987" s="540"/>
      <c r="X1987" s="540"/>
      <c r="Y1987" s="540"/>
      <c r="Z1987" s="540"/>
    </row>
    <row r="1988" spans="1:26" ht="19">
      <c r="A1988" s="631"/>
      <c r="B1988" s="631"/>
      <c r="C1988" s="631"/>
      <c r="D1988" s="832"/>
      <c r="E1988" s="631"/>
      <c r="F1988" s="631"/>
      <c r="G1988" s="631"/>
      <c r="H1988" s="833"/>
      <c r="I1988" s="834"/>
      <c r="J1988" s="834"/>
      <c r="K1988" s="835"/>
      <c r="L1988" s="835"/>
      <c r="M1988" s="835"/>
      <c r="N1988" s="835"/>
      <c r="O1988" s="835"/>
      <c r="P1988" s="835"/>
      <c r="Q1988" s="540"/>
      <c r="R1988" s="540"/>
      <c r="S1988" s="540"/>
      <c r="T1988" s="540"/>
      <c r="U1988" s="540"/>
      <c r="V1988" s="540"/>
      <c r="W1988" s="540"/>
      <c r="X1988" s="540"/>
      <c r="Y1988" s="540"/>
      <c r="Z1988" s="540"/>
    </row>
    <row r="1989" spans="1:26" ht="19">
      <c r="A1989" s="631"/>
      <c r="B1989" s="631"/>
      <c r="C1989" s="631"/>
      <c r="D1989" s="832"/>
      <c r="E1989" s="631"/>
      <c r="F1989" s="631"/>
      <c r="G1989" s="631"/>
      <c r="H1989" s="833"/>
      <c r="I1989" s="834"/>
      <c r="J1989" s="834"/>
      <c r="K1989" s="835"/>
      <c r="L1989" s="835"/>
      <c r="M1989" s="835"/>
      <c r="N1989" s="835"/>
      <c r="O1989" s="835"/>
      <c r="P1989" s="835"/>
      <c r="Q1989" s="540"/>
      <c r="R1989" s="540"/>
      <c r="S1989" s="540"/>
      <c r="T1989" s="540"/>
      <c r="U1989" s="540"/>
      <c r="V1989" s="540"/>
      <c r="W1989" s="540"/>
      <c r="X1989" s="540"/>
      <c r="Y1989" s="540"/>
      <c r="Z1989" s="540"/>
    </row>
    <row r="1990" spans="1:26" ht="19">
      <c r="A1990" s="631"/>
      <c r="B1990" s="631"/>
      <c r="C1990" s="631"/>
      <c r="D1990" s="832"/>
      <c r="E1990" s="631"/>
      <c r="F1990" s="631"/>
      <c r="G1990" s="631"/>
      <c r="H1990" s="833"/>
      <c r="I1990" s="834"/>
      <c r="J1990" s="834"/>
      <c r="K1990" s="835"/>
      <c r="L1990" s="835"/>
      <c r="M1990" s="835"/>
      <c r="N1990" s="835"/>
      <c r="O1990" s="835"/>
      <c r="P1990" s="835"/>
      <c r="Q1990" s="540"/>
      <c r="R1990" s="540"/>
      <c r="S1990" s="540"/>
      <c r="T1990" s="540"/>
      <c r="U1990" s="540"/>
      <c r="V1990" s="540"/>
      <c r="W1990" s="540"/>
      <c r="X1990" s="540"/>
      <c r="Y1990" s="540"/>
      <c r="Z1990" s="540"/>
    </row>
    <row r="1991" spans="1:26" ht="19">
      <c r="A1991" s="631"/>
      <c r="B1991" s="631"/>
      <c r="C1991" s="631"/>
      <c r="D1991" s="832"/>
      <c r="E1991" s="631"/>
      <c r="F1991" s="631"/>
      <c r="G1991" s="631"/>
      <c r="H1991" s="833"/>
      <c r="I1991" s="834"/>
      <c r="J1991" s="834"/>
      <c r="K1991" s="835"/>
      <c r="L1991" s="835"/>
      <c r="M1991" s="835"/>
      <c r="N1991" s="835"/>
      <c r="O1991" s="835"/>
      <c r="P1991" s="835"/>
      <c r="Q1991" s="540"/>
      <c r="R1991" s="540"/>
      <c r="S1991" s="540"/>
      <c r="T1991" s="540"/>
      <c r="U1991" s="540"/>
      <c r="V1991" s="540"/>
      <c r="W1991" s="540"/>
      <c r="X1991" s="540"/>
      <c r="Y1991" s="540"/>
      <c r="Z1991" s="540"/>
    </row>
    <row r="1992" spans="1:26" ht="19">
      <c r="A1992" s="631"/>
      <c r="B1992" s="631"/>
      <c r="C1992" s="631"/>
      <c r="D1992" s="832"/>
      <c r="E1992" s="631"/>
      <c r="F1992" s="631"/>
      <c r="G1992" s="631"/>
      <c r="H1992" s="833"/>
      <c r="I1992" s="834"/>
      <c r="J1992" s="834"/>
      <c r="K1992" s="835"/>
      <c r="L1992" s="835"/>
      <c r="M1992" s="835"/>
      <c r="N1992" s="835"/>
      <c r="O1992" s="835"/>
      <c r="P1992" s="835"/>
      <c r="Q1992" s="540"/>
      <c r="R1992" s="540"/>
      <c r="S1992" s="540"/>
      <c r="T1992" s="540"/>
      <c r="U1992" s="540"/>
      <c r="V1992" s="540"/>
      <c r="W1992" s="540"/>
      <c r="X1992" s="540"/>
      <c r="Y1992" s="540"/>
      <c r="Z1992" s="540"/>
    </row>
    <row r="1993" spans="1:26" ht="19">
      <c r="A1993" s="631"/>
      <c r="B1993" s="631"/>
      <c r="C1993" s="631"/>
      <c r="D1993" s="832"/>
      <c r="E1993" s="631"/>
      <c r="F1993" s="631"/>
      <c r="G1993" s="631"/>
      <c r="H1993" s="833"/>
      <c r="I1993" s="834"/>
      <c r="J1993" s="834"/>
      <c r="K1993" s="835"/>
      <c r="L1993" s="835"/>
      <c r="M1993" s="835"/>
      <c r="N1993" s="835"/>
      <c r="O1993" s="835"/>
      <c r="P1993" s="835"/>
      <c r="Q1993" s="540"/>
      <c r="R1993" s="540"/>
      <c r="S1993" s="540"/>
      <c r="T1993" s="540"/>
      <c r="U1993" s="540"/>
      <c r="V1993" s="540"/>
      <c r="W1993" s="540"/>
      <c r="X1993" s="540"/>
      <c r="Y1993" s="540"/>
      <c r="Z1993" s="540"/>
    </row>
    <row r="1994" spans="1:26" ht="19">
      <c r="A1994" s="631"/>
      <c r="B1994" s="631"/>
      <c r="C1994" s="631"/>
      <c r="D1994" s="832"/>
      <c r="E1994" s="631"/>
      <c r="F1994" s="631"/>
      <c r="G1994" s="631"/>
      <c r="H1994" s="833"/>
      <c r="I1994" s="834"/>
      <c r="J1994" s="834"/>
      <c r="K1994" s="835"/>
      <c r="L1994" s="835"/>
      <c r="M1994" s="835"/>
      <c r="N1994" s="835"/>
      <c r="O1994" s="835"/>
      <c r="P1994" s="835"/>
      <c r="Q1994" s="540"/>
      <c r="R1994" s="540"/>
      <c r="S1994" s="540"/>
      <c r="T1994" s="540"/>
      <c r="U1994" s="540"/>
      <c r="V1994" s="540"/>
      <c r="W1994" s="540"/>
      <c r="X1994" s="540"/>
      <c r="Y1994" s="540"/>
      <c r="Z1994" s="540"/>
    </row>
    <row r="1995" spans="1:26" ht="19">
      <c r="A1995" s="631"/>
      <c r="B1995" s="631"/>
      <c r="C1995" s="631"/>
      <c r="D1995" s="832"/>
      <c r="E1995" s="631"/>
      <c r="F1995" s="631"/>
      <c r="G1995" s="631"/>
      <c r="H1995" s="833"/>
      <c r="I1995" s="834"/>
      <c r="J1995" s="834"/>
      <c r="K1995" s="835"/>
      <c r="L1995" s="835"/>
      <c r="M1995" s="835"/>
      <c r="N1995" s="835"/>
      <c r="O1995" s="835"/>
      <c r="P1995" s="835"/>
      <c r="Q1995" s="540"/>
      <c r="R1995" s="540"/>
      <c r="S1995" s="540"/>
      <c r="T1995" s="540"/>
      <c r="U1995" s="540"/>
      <c r="V1995" s="540"/>
      <c r="W1995" s="540"/>
      <c r="X1995" s="540"/>
      <c r="Y1995" s="540"/>
      <c r="Z1995" s="540"/>
    </row>
    <row r="1996" spans="1:26" ht="19">
      <c r="A1996" s="631"/>
      <c r="B1996" s="631"/>
      <c r="C1996" s="631"/>
      <c r="D1996" s="832"/>
      <c r="E1996" s="631"/>
      <c r="F1996" s="631"/>
      <c r="G1996" s="631"/>
      <c r="H1996" s="833"/>
      <c r="I1996" s="834"/>
      <c r="J1996" s="834"/>
      <c r="K1996" s="835"/>
      <c r="L1996" s="835"/>
      <c r="M1996" s="835"/>
      <c r="N1996" s="835"/>
      <c r="O1996" s="835"/>
      <c r="P1996" s="835"/>
      <c r="Q1996" s="540"/>
      <c r="R1996" s="540"/>
      <c r="S1996" s="540"/>
      <c r="T1996" s="540"/>
      <c r="U1996" s="540"/>
      <c r="V1996" s="540"/>
      <c r="W1996" s="540"/>
      <c r="X1996" s="540"/>
      <c r="Y1996" s="540"/>
      <c r="Z1996" s="540"/>
    </row>
    <row r="1997" spans="1:26" ht="19">
      <c r="A1997" s="631"/>
      <c r="B1997" s="631"/>
      <c r="C1997" s="631"/>
      <c r="D1997" s="832"/>
      <c r="E1997" s="631"/>
      <c r="F1997" s="631"/>
      <c r="G1997" s="631"/>
      <c r="H1997" s="833"/>
      <c r="I1997" s="834"/>
      <c r="J1997" s="834"/>
      <c r="K1997" s="835"/>
      <c r="L1997" s="835"/>
      <c r="M1997" s="835"/>
      <c r="N1997" s="835"/>
      <c r="O1997" s="835"/>
      <c r="P1997" s="835"/>
      <c r="Q1997" s="540"/>
      <c r="R1997" s="540"/>
      <c r="S1997" s="540"/>
      <c r="T1997" s="540"/>
      <c r="U1997" s="540"/>
      <c r="V1997" s="540"/>
      <c r="W1997" s="540"/>
      <c r="X1997" s="540"/>
      <c r="Y1997" s="540"/>
      <c r="Z1997" s="540"/>
    </row>
    <row r="1998" spans="1:26" ht="19">
      <c r="A1998" s="631"/>
      <c r="B1998" s="631"/>
      <c r="C1998" s="631"/>
      <c r="D1998" s="832"/>
      <c r="E1998" s="631"/>
      <c r="F1998" s="631"/>
      <c r="G1998" s="631"/>
      <c r="H1998" s="833"/>
      <c r="I1998" s="834"/>
      <c r="J1998" s="834"/>
      <c r="K1998" s="835"/>
      <c r="L1998" s="835"/>
      <c r="M1998" s="835"/>
      <c r="N1998" s="835"/>
      <c r="O1998" s="835"/>
      <c r="P1998" s="835"/>
      <c r="Q1998" s="540"/>
      <c r="R1998" s="540"/>
      <c r="S1998" s="540"/>
      <c r="T1998" s="540"/>
      <c r="U1998" s="540"/>
      <c r="V1998" s="540"/>
      <c r="W1998" s="540"/>
      <c r="X1998" s="540"/>
      <c r="Y1998" s="540"/>
      <c r="Z1998" s="540"/>
    </row>
    <row r="1999" spans="1:26" ht="19">
      <c r="A1999" s="631"/>
      <c r="B1999" s="631"/>
      <c r="C1999" s="631"/>
      <c r="D1999" s="832"/>
      <c r="E1999" s="631"/>
      <c r="F1999" s="631"/>
      <c r="G1999" s="631"/>
      <c r="H1999" s="833"/>
      <c r="I1999" s="834"/>
      <c r="J1999" s="834"/>
      <c r="K1999" s="835"/>
      <c r="L1999" s="835"/>
      <c r="M1999" s="835"/>
      <c r="N1999" s="835"/>
      <c r="O1999" s="835"/>
      <c r="P1999" s="835"/>
      <c r="Q1999" s="540"/>
      <c r="R1999" s="540"/>
      <c r="S1999" s="540"/>
      <c r="T1999" s="540"/>
      <c r="U1999" s="540"/>
      <c r="V1999" s="540"/>
      <c r="W1999" s="540"/>
      <c r="X1999" s="540"/>
      <c r="Y1999" s="540"/>
      <c r="Z1999" s="540"/>
    </row>
    <row r="2000" spans="1:26" ht="19">
      <c r="A2000" s="631"/>
      <c r="B2000" s="631"/>
      <c r="C2000" s="631"/>
      <c r="D2000" s="832"/>
      <c r="E2000" s="631"/>
      <c r="F2000" s="631"/>
      <c r="G2000" s="631"/>
      <c r="H2000" s="833"/>
      <c r="I2000" s="834"/>
      <c r="J2000" s="834"/>
      <c r="K2000" s="835"/>
      <c r="L2000" s="835"/>
      <c r="M2000" s="835"/>
      <c r="N2000" s="835"/>
      <c r="O2000" s="835"/>
      <c r="P2000" s="835"/>
      <c r="Q2000" s="540"/>
      <c r="R2000" s="540"/>
      <c r="S2000" s="540"/>
      <c r="T2000" s="540"/>
      <c r="U2000" s="540"/>
      <c r="V2000" s="540"/>
      <c r="W2000" s="540"/>
      <c r="X2000" s="540"/>
      <c r="Y2000" s="540"/>
      <c r="Z2000" s="540"/>
    </row>
    <row r="2001" spans="1:26" ht="19">
      <c r="A2001" s="631"/>
      <c r="B2001" s="631"/>
      <c r="C2001" s="631"/>
      <c r="D2001" s="832"/>
      <c r="E2001" s="631"/>
      <c r="F2001" s="631"/>
      <c r="G2001" s="631"/>
      <c r="H2001" s="833"/>
      <c r="I2001" s="834"/>
      <c r="J2001" s="834"/>
      <c r="K2001" s="835"/>
      <c r="L2001" s="835"/>
      <c r="M2001" s="835"/>
      <c r="N2001" s="835"/>
      <c r="O2001" s="835"/>
      <c r="P2001" s="835"/>
      <c r="Q2001" s="540"/>
      <c r="R2001" s="540"/>
      <c r="S2001" s="540"/>
      <c r="T2001" s="540"/>
      <c r="U2001" s="540"/>
      <c r="V2001" s="540"/>
      <c r="W2001" s="540"/>
      <c r="X2001" s="540"/>
      <c r="Y2001" s="540"/>
      <c r="Z2001" s="540"/>
    </row>
    <row r="2002" spans="1:26" ht="19">
      <c r="A2002" s="631"/>
      <c r="B2002" s="631"/>
      <c r="C2002" s="631"/>
      <c r="D2002" s="832"/>
      <c r="E2002" s="631"/>
      <c r="F2002" s="631"/>
      <c r="G2002" s="631"/>
      <c r="H2002" s="833"/>
      <c r="I2002" s="834"/>
      <c r="J2002" s="834"/>
      <c r="K2002" s="835"/>
      <c r="L2002" s="835"/>
      <c r="M2002" s="835"/>
      <c r="N2002" s="835"/>
      <c r="O2002" s="835"/>
      <c r="P2002" s="835"/>
      <c r="Q2002" s="540"/>
      <c r="R2002" s="540"/>
      <c r="S2002" s="540"/>
      <c r="T2002" s="540"/>
      <c r="U2002" s="540"/>
      <c r="V2002" s="540"/>
      <c r="W2002" s="540"/>
      <c r="X2002" s="540"/>
      <c r="Y2002" s="540"/>
      <c r="Z2002" s="540"/>
    </row>
    <row r="2003" spans="1:26" ht="19">
      <c r="A2003" s="631"/>
      <c r="B2003" s="631"/>
      <c r="C2003" s="631"/>
      <c r="D2003" s="832"/>
      <c r="E2003" s="631"/>
      <c r="F2003" s="631"/>
      <c r="G2003" s="631"/>
      <c r="H2003" s="833"/>
      <c r="I2003" s="834"/>
      <c r="J2003" s="834"/>
      <c r="K2003" s="835"/>
      <c r="L2003" s="835"/>
      <c r="M2003" s="835"/>
      <c r="N2003" s="835"/>
      <c r="O2003" s="835"/>
      <c r="P2003" s="835"/>
      <c r="Q2003" s="540"/>
      <c r="R2003" s="540"/>
      <c r="S2003" s="540"/>
      <c r="T2003" s="540"/>
      <c r="U2003" s="540"/>
      <c r="V2003" s="540"/>
      <c r="W2003" s="540"/>
      <c r="X2003" s="540"/>
      <c r="Y2003" s="540"/>
      <c r="Z2003" s="540"/>
    </row>
    <row r="2004" spans="1:26" ht="19">
      <c r="A2004" s="631"/>
      <c r="B2004" s="631"/>
      <c r="C2004" s="631"/>
      <c r="D2004" s="832"/>
      <c r="E2004" s="631"/>
      <c r="F2004" s="631"/>
      <c r="G2004" s="631"/>
      <c r="H2004" s="833"/>
      <c r="I2004" s="834"/>
      <c r="J2004" s="834"/>
      <c r="K2004" s="835"/>
      <c r="L2004" s="835"/>
      <c r="M2004" s="835"/>
      <c r="N2004" s="835"/>
      <c r="O2004" s="835"/>
      <c r="P2004" s="835"/>
      <c r="Q2004" s="540"/>
      <c r="R2004" s="540"/>
      <c r="S2004" s="540"/>
      <c r="T2004" s="540"/>
      <c r="U2004" s="540"/>
      <c r="V2004" s="540"/>
      <c r="W2004" s="540"/>
      <c r="X2004" s="540"/>
      <c r="Y2004" s="540"/>
      <c r="Z2004" s="540"/>
    </row>
    <row r="2005" spans="1:26" ht="19">
      <c r="A2005" s="631"/>
      <c r="B2005" s="631"/>
      <c r="C2005" s="631"/>
      <c r="D2005" s="832"/>
      <c r="E2005" s="631"/>
      <c r="F2005" s="631"/>
      <c r="G2005" s="631"/>
      <c r="H2005" s="833"/>
      <c r="I2005" s="834"/>
      <c r="J2005" s="834"/>
      <c r="K2005" s="835"/>
      <c r="L2005" s="835"/>
      <c r="M2005" s="835"/>
      <c r="N2005" s="835"/>
      <c r="O2005" s="835"/>
      <c r="P2005" s="835"/>
      <c r="Q2005" s="540"/>
      <c r="R2005" s="540"/>
      <c r="S2005" s="540"/>
      <c r="T2005" s="540"/>
      <c r="U2005" s="540"/>
      <c r="V2005" s="540"/>
      <c r="W2005" s="540"/>
      <c r="X2005" s="540"/>
      <c r="Y2005" s="540"/>
      <c r="Z2005" s="540"/>
    </row>
    <row r="2006" spans="1:26" ht="19">
      <c r="A2006" s="631"/>
      <c r="B2006" s="631"/>
      <c r="C2006" s="631"/>
      <c r="D2006" s="832"/>
      <c r="E2006" s="631"/>
      <c r="F2006" s="631"/>
      <c r="G2006" s="631"/>
      <c r="H2006" s="833"/>
      <c r="I2006" s="834"/>
      <c r="J2006" s="834"/>
      <c r="K2006" s="835"/>
      <c r="L2006" s="835"/>
      <c r="M2006" s="835"/>
      <c r="N2006" s="835"/>
      <c r="O2006" s="835"/>
      <c r="P2006" s="835"/>
      <c r="Q2006" s="540"/>
      <c r="R2006" s="540"/>
      <c r="S2006" s="540"/>
      <c r="T2006" s="540"/>
      <c r="U2006" s="540"/>
      <c r="V2006" s="540"/>
      <c r="W2006" s="540"/>
      <c r="X2006" s="540"/>
      <c r="Y2006" s="540"/>
      <c r="Z2006" s="540"/>
    </row>
    <row r="2007" spans="1:26" ht="19">
      <c r="A2007" s="631"/>
      <c r="B2007" s="631"/>
      <c r="C2007" s="631"/>
      <c r="D2007" s="832"/>
      <c r="E2007" s="631"/>
      <c r="F2007" s="631"/>
      <c r="G2007" s="631"/>
      <c r="H2007" s="833"/>
      <c r="I2007" s="834"/>
      <c r="J2007" s="834"/>
      <c r="K2007" s="835"/>
      <c r="L2007" s="835"/>
      <c r="M2007" s="835"/>
      <c r="N2007" s="835"/>
      <c r="O2007" s="835"/>
      <c r="P2007" s="835"/>
      <c r="Q2007" s="540"/>
      <c r="R2007" s="540"/>
      <c r="S2007" s="540"/>
      <c r="T2007" s="540"/>
      <c r="U2007" s="540"/>
      <c r="V2007" s="540"/>
      <c r="W2007" s="540"/>
      <c r="X2007" s="540"/>
      <c r="Y2007" s="540"/>
      <c r="Z2007" s="540"/>
    </row>
    <row r="2008" spans="1:26" ht="19">
      <c r="A2008" s="631"/>
      <c r="B2008" s="631"/>
      <c r="C2008" s="631"/>
      <c r="D2008" s="832"/>
      <c r="E2008" s="631"/>
      <c r="F2008" s="631"/>
      <c r="G2008" s="631"/>
      <c r="H2008" s="833"/>
      <c r="I2008" s="834"/>
      <c r="J2008" s="834"/>
      <c r="K2008" s="835"/>
      <c r="L2008" s="835"/>
      <c r="M2008" s="835"/>
      <c r="N2008" s="835"/>
      <c r="O2008" s="835"/>
      <c r="P2008" s="835"/>
      <c r="Q2008" s="540"/>
      <c r="R2008" s="540"/>
      <c r="S2008" s="540"/>
      <c r="T2008" s="540"/>
      <c r="U2008" s="540"/>
      <c r="V2008" s="540"/>
      <c r="W2008" s="540"/>
      <c r="X2008" s="540"/>
      <c r="Y2008" s="540"/>
      <c r="Z2008" s="540"/>
    </row>
    <row r="2009" spans="1:26" ht="19">
      <c r="A2009" s="631"/>
      <c r="B2009" s="631"/>
      <c r="C2009" s="631"/>
      <c r="D2009" s="832"/>
      <c r="E2009" s="631"/>
      <c r="F2009" s="631"/>
      <c r="G2009" s="631"/>
      <c r="H2009" s="833"/>
      <c r="I2009" s="834"/>
      <c r="J2009" s="834"/>
      <c r="K2009" s="835"/>
      <c r="L2009" s="835"/>
      <c r="M2009" s="835"/>
      <c r="N2009" s="835"/>
      <c r="O2009" s="835"/>
      <c r="P2009" s="835"/>
      <c r="Q2009" s="540"/>
      <c r="R2009" s="540"/>
      <c r="S2009" s="540"/>
      <c r="T2009" s="540"/>
      <c r="U2009" s="540"/>
      <c r="V2009" s="540"/>
      <c r="W2009" s="540"/>
      <c r="X2009" s="540"/>
      <c r="Y2009" s="540"/>
      <c r="Z2009" s="540"/>
    </row>
    <row r="2010" spans="1:26" ht="19">
      <c r="A2010" s="631"/>
      <c r="B2010" s="631"/>
      <c r="C2010" s="631"/>
      <c r="D2010" s="832"/>
      <c r="E2010" s="631"/>
      <c r="F2010" s="631"/>
      <c r="G2010" s="631"/>
      <c r="H2010" s="833"/>
      <c r="I2010" s="834"/>
      <c r="J2010" s="834"/>
      <c r="K2010" s="835"/>
      <c r="L2010" s="835"/>
      <c r="M2010" s="835"/>
      <c r="N2010" s="835"/>
      <c r="O2010" s="835"/>
      <c r="P2010" s="835"/>
      <c r="Q2010" s="540"/>
      <c r="R2010" s="540"/>
      <c r="S2010" s="540"/>
      <c r="T2010" s="540"/>
      <c r="U2010" s="540"/>
      <c r="V2010" s="540"/>
      <c r="W2010" s="540"/>
      <c r="X2010" s="540"/>
      <c r="Y2010" s="540"/>
      <c r="Z2010" s="540"/>
    </row>
    <row r="2011" spans="1:26" ht="19">
      <c r="A2011" s="631"/>
      <c r="B2011" s="631"/>
      <c r="C2011" s="631"/>
      <c r="D2011" s="832"/>
      <c r="E2011" s="631"/>
      <c r="F2011" s="631"/>
      <c r="G2011" s="631"/>
      <c r="H2011" s="833"/>
      <c r="I2011" s="834"/>
      <c r="J2011" s="834"/>
      <c r="K2011" s="835"/>
      <c r="L2011" s="835"/>
      <c r="M2011" s="835"/>
      <c r="N2011" s="835"/>
      <c r="O2011" s="835"/>
      <c r="P2011" s="835"/>
      <c r="Q2011" s="540"/>
      <c r="R2011" s="540"/>
      <c r="S2011" s="540"/>
      <c r="T2011" s="540"/>
      <c r="U2011" s="540"/>
      <c r="V2011" s="540"/>
      <c r="W2011" s="540"/>
      <c r="X2011" s="540"/>
      <c r="Y2011" s="540"/>
      <c r="Z2011" s="540"/>
    </row>
    <row r="2012" spans="1:26" ht="19">
      <c r="A2012" s="631"/>
      <c r="B2012" s="631"/>
      <c r="C2012" s="631"/>
      <c r="D2012" s="832"/>
      <c r="E2012" s="631"/>
      <c r="F2012" s="631"/>
      <c r="G2012" s="631"/>
      <c r="H2012" s="833"/>
      <c r="I2012" s="834"/>
      <c r="J2012" s="834"/>
      <c r="K2012" s="835"/>
      <c r="L2012" s="835"/>
      <c r="M2012" s="835"/>
      <c r="N2012" s="835"/>
      <c r="O2012" s="835"/>
      <c r="P2012" s="835"/>
      <c r="Q2012" s="540"/>
      <c r="R2012" s="540"/>
      <c r="S2012" s="540"/>
      <c r="T2012" s="540"/>
      <c r="U2012" s="540"/>
      <c r="V2012" s="540"/>
      <c r="W2012" s="540"/>
      <c r="X2012" s="540"/>
      <c r="Y2012" s="540"/>
      <c r="Z2012" s="540"/>
    </row>
    <row r="2013" spans="1:26" ht="19">
      <c r="A2013" s="631"/>
      <c r="B2013" s="631"/>
      <c r="C2013" s="631"/>
      <c r="D2013" s="832"/>
      <c r="E2013" s="631"/>
      <c r="F2013" s="631"/>
      <c r="G2013" s="631"/>
      <c r="H2013" s="833"/>
      <c r="I2013" s="834"/>
      <c r="J2013" s="834"/>
      <c r="K2013" s="835"/>
      <c r="L2013" s="835"/>
      <c r="M2013" s="835"/>
      <c r="N2013" s="835"/>
      <c r="O2013" s="835"/>
      <c r="P2013" s="835"/>
      <c r="Q2013" s="540"/>
      <c r="R2013" s="540"/>
      <c r="S2013" s="540"/>
      <c r="T2013" s="540"/>
      <c r="U2013" s="540"/>
      <c r="V2013" s="540"/>
      <c r="W2013" s="540"/>
      <c r="X2013" s="540"/>
      <c r="Y2013" s="540"/>
      <c r="Z2013" s="540"/>
    </row>
    <row r="2014" spans="1:26" ht="19">
      <c r="A2014" s="631"/>
      <c r="B2014" s="631"/>
      <c r="C2014" s="631"/>
      <c r="D2014" s="832"/>
      <c r="E2014" s="631"/>
      <c r="F2014" s="631"/>
      <c r="G2014" s="631"/>
      <c r="H2014" s="833"/>
      <c r="I2014" s="834"/>
      <c r="J2014" s="834"/>
      <c r="K2014" s="835"/>
      <c r="L2014" s="835"/>
      <c r="M2014" s="835"/>
      <c r="N2014" s="835"/>
      <c r="O2014" s="835"/>
      <c r="P2014" s="835"/>
      <c r="Q2014" s="540"/>
      <c r="R2014" s="540"/>
      <c r="S2014" s="540"/>
      <c r="T2014" s="540"/>
      <c r="U2014" s="540"/>
      <c r="V2014" s="540"/>
      <c r="W2014" s="540"/>
      <c r="X2014" s="540"/>
      <c r="Y2014" s="540"/>
      <c r="Z2014" s="540"/>
    </row>
    <row r="2015" spans="1:26" ht="19">
      <c r="A2015" s="631"/>
      <c r="B2015" s="631"/>
      <c r="C2015" s="631"/>
      <c r="D2015" s="832"/>
      <c r="E2015" s="631"/>
      <c r="F2015" s="631"/>
      <c r="G2015" s="631"/>
      <c r="H2015" s="833"/>
      <c r="I2015" s="834"/>
      <c r="J2015" s="834"/>
      <c r="K2015" s="835"/>
      <c r="L2015" s="835"/>
      <c r="M2015" s="835"/>
      <c r="N2015" s="835"/>
      <c r="O2015" s="835"/>
      <c r="P2015" s="835"/>
      <c r="Q2015" s="540"/>
      <c r="R2015" s="540"/>
      <c r="S2015" s="540"/>
      <c r="T2015" s="540"/>
      <c r="U2015" s="540"/>
      <c r="V2015" s="540"/>
      <c r="W2015" s="540"/>
      <c r="X2015" s="540"/>
      <c r="Y2015" s="540"/>
      <c r="Z2015" s="540"/>
    </row>
    <row r="2016" spans="1:26" ht="19">
      <c r="A2016" s="631"/>
      <c r="B2016" s="631"/>
      <c r="C2016" s="631"/>
      <c r="D2016" s="832"/>
      <c r="E2016" s="631"/>
      <c r="F2016" s="631"/>
      <c r="G2016" s="631"/>
      <c r="H2016" s="833"/>
      <c r="I2016" s="834"/>
      <c r="J2016" s="834"/>
      <c r="K2016" s="835"/>
      <c r="L2016" s="835"/>
      <c r="M2016" s="835"/>
      <c r="N2016" s="835"/>
      <c r="O2016" s="835"/>
      <c r="P2016" s="835"/>
      <c r="Q2016" s="540"/>
      <c r="R2016" s="540"/>
      <c r="S2016" s="540"/>
      <c r="T2016" s="540"/>
      <c r="U2016" s="540"/>
      <c r="V2016" s="540"/>
      <c r="W2016" s="540"/>
      <c r="X2016" s="540"/>
      <c r="Y2016" s="540"/>
      <c r="Z2016" s="540"/>
    </row>
    <row r="2017" spans="1:26" ht="19">
      <c r="A2017" s="631"/>
      <c r="B2017" s="631"/>
      <c r="C2017" s="631"/>
      <c r="D2017" s="832"/>
      <c r="E2017" s="631"/>
      <c r="F2017" s="631"/>
      <c r="G2017" s="631"/>
      <c r="H2017" s="833"/>
      <c r="I2017" s="834"/>
      <c r="J2017" s="834"/>
      <c r="K2017" s="835"/>
      <c r="L2017" s="835"/>
      <c r="M2017" s="835"/>
      <c r="N2017" s="835"/>
      <c r="O2017" s="835"/>
      <c r="P2017" s="835"/>
      <c r="Q2017" s="540"/>
      <c r="R2017" s="540"/>
      <c r="S2017" s="540"/>
      <c r="T2017" s="540"/>
      <c r="U2017" s="540"/>
      <c r="V2017" s="540"/>
      <c r="W2017" s="540"/>
      <c r="X2017" s="540"/>
      <c r="Y2017" s="540"/>
      <c r="Z2017" s="540"/>
    </row>
    <row r="2018" spans="1:26" ht="19">
      <c r="A2018" s="631"/>
      <c r="B2018" s="631"/>
      <c r="C2018" s="631"/>
      <c r="D2018" s="832"/>
      <c r="E2018" s="631"/>
      <c r="F2018" s="631"/>
      <c r="G2018" s="631"/>
      <c r="H2018" s="833"/>
      <c r="I2018" s="834"/>
      <c r="J2018" s="834"/>
      <c r="K2018" s="835"/>
      <c r="L2018" s="835"/>
      <c r="M2018" s="835"/>
      <c r="N2018" s="835"/>
      <c r="O2018" s="835"/>
      <c r="P2018" s="835"/>
      <c r="Q2018" s="540"/>
      <c r="R2018" s="540"/>
      <c r="S2018" s="540"/>
      <c r="T2018" s="540"/>
      <c r="U2018" s="540"/>
      <c r="V2018" s="540"/>
      <c r="W2018" s="540"/>
      <c r="X2018" s="540"/>
      <c r="Y2018" s="540"/>
      <c r="Z2018" s="540"/>
    </row>
    <row r="2019" spans="1:26" ht="19">
      <c r="A2019" s="631"/>
      <c r="B2019" s="631"/>
      <c r="C2019" s="631"/>
      <c r="D2019" s="832"/>
      <c r="E2019" s="631"/>
      <c r="F2019" s="631"/>
      <c r="G2019" s="631"/>
      <c r="H2019" s="833"/>
      <c r="I2019" s="834"/>
      <c r="J2019" s="834"/>
      <c r="K2019" s="835"/>
      <c r="L2019" s="835"/>
      <c r="M2019" s="835"/>
      <c r="N2019" s="835"/>
      <c r="O2019" s="835"/>
      <c r="P2019" s="835"/>
      <c r="Q2019" s="540"/>
      <c r="R2019" s="540"/>
      <c r="S2019" s="540"/>
      <c r="T2019" s="540"/>
      <c r="U2019" s="540"/>
      <c r="V2019" s="540"/>
      <c r="W2019" s="540"/>
      <c r="X2019" s="540"/>
      <c r="Y2019" s="540"/>
      <c r="Z2019" s="540"/>
    </row>
    <row r="2020" spans="1:26" ht="19">
      <c r="A2020" s="631"/>
      <c r="B2020" s="631"/>
      <c r="C2020" s="631"/>
      <c r="D2020" s="832"/>
      <c r="E2020" s="631"/>
      <c r="F2020" s="631"/>
      <c r="G2020" s="631"/>
      <c r="H2020" s="833"/>
      <c r="I2020" s="834"/>
      <c r="J2020" s="834"/>
      <c r="K2020" s="835"/>
      <c r="L2020" s="835"/>
      <c r="M2020" s="835"/>
      <c r="N2020" s="835"/>
      <c r="O2020" s="835"/>
      <c r="P2020" s="835"/>
      <c r="Q2020" s="540"/>
      <c r="R2020" s="540"/>
      <c r="S2020" s="540"/>
      <c r="T2020" s="540"/>
      <c r="U2020" s="540"/>
      <c r="V2020" s="540"/>
      <c r="W2020" s="540"/>
      <c r="X2020" s="540"/>
      <c r="Y2020" s="540"/>
      <c r="Z2020" s="540"/>
    </row>
    <row r="2021" spans="1:26" ht="19">
      <c r="A2021" s="631"/>
      <c r="B2021" s="631"/>
      <c r="C2021" s="631"/>
      <c r="D2021" s="832"/>
      <c r="E2021" s="631"/>
      <c r="F2021" s="631"/>
      <c r="G2021" s="631"/>
      <c r="H2021" s="833"/>
      <c r="I2021" s="834"/>
      <c r="J2021" s="834"/>
      <c r="K2021" s="835"/>
      <c r="L2021" s="835"/>
      <c r="M2021" s="835"/>
      <c r="N2021" s="835"/>
      <c r="O2021" s="835"/>
      <c r="P2021" s="835"/>
      <c r="Q2021" s="540"/>
      <c r="R2021" s="540"/>
      <c r="S2021" s="540"/>
      <c r="T2021" s="540"/>
      <c r="U2021" s="540"/>
      <c r="V2021" s="540"/>
      <c r="W2021" s="540"/>
      <c r="X2021" s="540"/>
      <c r="Y2021" s="540"/>
      <c r="Z2021" s="540"/>
    </row>
    <row r="2022" spans="1:26" ht="19">
      <c r="A2022" s="631"/>
      <c r="B2022" s="631"/>
      <c r="C2022" s="631"/>
      <c r="D2022" s="832"/>
      <c r="E2022" s="631"/>
      <c r="F2022" s="631"/>
      <c r="G2022" s="631"/>
      <c r="H2022" s="833"/>
      <c r="I2022" s="834"/>
      <c r="J2022" s="834"/>
      <c r="K2022" s="835"/>
      <c r="L2022" s="835"/>
      <c r="M2022" s="835"/>
      <c r="N2022" s="835"/>
      <c r="O2022" s="835"/>
      <c r="P2022" s="835"/>
      <c r="Q2022" s="540"/>
      <c r="R2022" s="540"/>
      <c r="S2022" s="540"/>
      <c r="T2022" s="540"/>
      <c r="U2022" s="540"/>
      <c r="V2022" s="540"/>
      <c r="W2022" s="540"/>
      <c r="X2022" s="540"/>
      <c r="Y2022" s="540"/>
      <c r="Z2022" s="540"/>
    </row>
    <row r="2023" spans="1:26" ht="19">
      <c r="A2023" s="631"/>
      <c r="B2023" s="631"/>
      <c r="C2023" s="631"/>
      <c r="D2023" s="832"/>
      <c r="E2023" s="631"/>
      <c r="F2023" s="631"/>
      <c r="G2023" s="631"/>
      <c r="H2023" s="833"/>
      <c r="I2023" s="834"/>
      <c r="J2023" s="834"/>
      <c r="K2023" s="835"/>
      <c r="L2023" s="835"/>
      <c r="M2023" s="835"/>
      <c r="N2023" s="835"/>
      <c r="O2023" s="835"/>
      <c r="P2023" s="835"/>
      <c r="Q2023" s="540"/>
      <c r="R2023" s="540"/>
      <c r="S2023" s="540"/>
      <c r="T2023" s="540"/>
      <c r="U2023" s="540"/>
      <c r="V2023" s="540"/>
      <c r="W2023" s="540"/>
      <c r="X2023" s="540"/>
      <c r="Y2023" s="540"/>
      <c r="Z2023" s="540"/>
    </row>
    <row r="2024" spans="1:26" ht="19">
      <c r="A2024" s="631"/>
      <c r="B2024" s="631"/>
      <c r="C2024" s="631"/>
      <c r="D2024" s="832"/>
      <c r="E2024" s="631"/>
      <c r="F2024" s="631"/>
      <c r="G2024" s="631"/>
      <c r="H2024" s="833"/>
      <c r="I2024" s="834"/>
      <c r="J2024" s="834"/>
      <c r="K2024" s="835"/>
      <c r="L2024" s="835"/>
      <c r="M2024" s="835"/>
      <c r="N2024" s="835"/>
      <c r="O2024" s="835"/>
      <c r="P2024" s="835"/>
      <c r="Q2024" s="540"/>
      <c r="R2024" s="540"/>
      <c r="S2024" s="540"/>
      <c r="T2024" s="540"/>
      <c r="U2024" s="540"/>
      <c r="V2024" s="540"/>
      <c r="W2024" s="540"/>
      <c r="X2024" s="540"/>
      <c r="Y2024" s="540"/>
      <c r="Z2024" s="540"/>
    </row>
    <row r="2025" spans="1:26" ht="19">
      <c r="A2025" s="631"/>
      <c r="B2025" s="631"/>
      <c r="C2025" s="631"/>
      <c r="D2025" s="832"/>
      <c r="E2025" s="631"/>
      <c r="F2025" s="631"/>
      <c r="G2025" s="631"/>
      <c r="H2025" s="833"/>
      <c r="I2025" s="834"/>
      <c r="J2025" s="834"/>
      <c r="K2025" s="835"/>
      <c r="L2025" s="835"/>
      <c r="M2025" s="835"/>
      <c r="N2025" s="835"/>
      <c r="O2025" s="835"/>
      <c r="P2025" s="835"/>
      <c r="Q2025" s="540"/>
      <c r="R2025" s="540"/>
      <c r="S2025" s="540"/>
      <c r="T2025" s="540"/>
      <c r="U2025" s="540"/>
      <c r="V2025" s="540"/>
      <c r="W2025" s="540"/>
      <c r="X2025" s="540"/>
      <c r="Y2025" s="540"/>
      <c r="Z2025" s="540"/>
    </row>
    <row r="2026" spans="1:26" ht="19">
      <c r="A2026" s="631"/>
      <c r="B2026" s="631"/>
      <c r="C2026" s="631"/>
      <c r="D2026" s="832"/>
      <c r="E2026" s="631"/>
      <c r="F2026" s="631"/>
      <c r="G2026" s="631"/>
      <c r="H2026" s="833"/>
      <c r="I2026" s="834"/>
      <c r="J2026" s="834"/>
      <c r="K2026" s="835"/>
      <c r="L2026" s="835"/>
      <c r="M2026" s="835"/>
      <c r="N2026" s="835"/>
      <c r="O2026" s="835"/>
      <c r="P2026" s="835"/>
      <c r="Q2026" s="540"/>
      <c r="R2026" s="540"/>
      <c r="S2026" s="540"/>
      <c r="T2026" s="540"/>
      <c r="U2026" s="540"/>
      <c r="V2026" s="540"/>
      <c r="W2026" s="540"/>
      <c r="X2026" s="540"/>
      <c r="Y2026" s="540"/>
      <c r="Z2026" s="540"/>
    </row>
    <row r="2027" spans="1:26" ht="19">
      <c r="A2027" s="631"/>
      <c r="B2027" s="631"/>
      <c r="C2027" s="631"/>
      <c r="D2027" s="832"/>
      <c r="E2027" s="631"/>
      <c r="F2027" s="631"/>
      <c r="G2027" s="631"/>
      <c r="H2027" s="833"/>
      <c r="I2027" s="834"/>
      <c r="J2027" s="834"/>
      <c r="K2027" s="835"/>
      <c r="L2027" s="835"/>
      <c r="M2027" s="835"/>
      <c r="N2027" s="835"/>
      <c r="O2027" s="835"/>
      <c r="P2027" s="835"/>
      <c r="Q2027" s="540"/>
      <c r="R2027" s="540"/>
      <c r="S2027" s="540"/>
      <c r="T2027" s="540"/>
      <c r="U2027" s="540"/>
      <c r="V2027" s="540"/>
      <c r="W2027" s="540"/>
      <c r="X2027" s="540"/>
      <c r="Y2027" s="540"/>
      <c r="Z2027" s="540"/>
    </row>
    <row r="2028" spans="1:26" ht="19">
      <c r="A2028" s="631"/>
      <c r="B2028" s="631"/>
      <c r="C2028" s="631"/>
      <c r="D2028" s="832"/>
      <c r="E2028" s="631"/>
      <c r="F2028" s="631"/>
      <c r="G2028" s="631"/>
      <c r="H2028" s="833"/>
      <c r="I2028" s="834"/>
      <c r="J2028" s="834"/>
      <c r="K2028" s="835"/>
      <c r="L2028" s="835"/>
      <c r="M2028" s="835"/>
      <c r="N2028" s="835"/>
      <c r="O2028" s="835"/>
      <c r="P2028" s="835"/>
      <c r="Q2028" s="540"/>
      <c r="R2028" s="540"/>
      <c r="S2028" s="540"/>
      <c r="T2028" s="540"/>
      <c r="U2028" s="540"/>
      <c r="V2028" s="540"/>
      <c r="W2028" s="540"/>
      <c r="X2028" s="540"/>
      <c r="Y2028" s="540"/>
      <c r="Z2028" s="540"/>
    </row>
    <row r="2029" spans="1:26" ht="19">
      <c r="A2029" s="631"/>
      <c r="B2029" s="631"/>
      <c r="C2029" s="631"/>
      <c r="D2029" s="832"/>
      <c r="E2029" s="631"/>
      <c r="F2029" s="631"/>
      <c r="G2029" s="631"/>
      <c r="H2029" s="833"/>
      <c r="I2029" s="834"/>
      <c r="J2029" s="834"/>
      <c r="K2029" s="835"/>
      <c r="L2029" s="835"/>
      <c r="M2029" s="835"/>
      <c r="N2029" s="835"/>
      <c r="O2029" s="835"/>
      <c r="P2029" s="835"/>
      <c r="Q2029" s="540"/>
      <c r="R2029" s="540"/>
      <c r="S2029" s="540"/>
      <c r="T2029" s="540"/>
      <c r="U2029" s="540"/>
      <c r="V2029" s="540"/>
      <c r="W2029" s="540"/>
      <c r="X2029" s="540"/>
      <c r="Y2029" s="540"/>
      <c r="Z2029" s="540"/>
    </row>
    <row r="2030" spans="1:26" ht="19">
      <c r="A2030" s="631"/>
      <c r="B2030" s="631"/>
      <c r="C2030" s="631"/>
      <c r="D2030" s="832"/>
      <c r="E2030" s="631"/>
      <c r="F2030" s="631"/>
      <c r="G2030" s="631"/>
      <c r="H2030" s="833"/>
      <c r="I2030" s="834"/>
      <c r="J2030" s="834"/>
      <c r="K2030" s="835"/>
      <c r="L2030" s="835"/>
      <c r="M2030" s="835"/>
      <c r="N2030" s="835"/>
      <c r="O2030" s="835"/>
      <c r="P2030" s="835"/>
      <c r="Q2030" s="540"/>
      <c r="R2030" s="540"/>
      <c r="S2030" s="540"/>
      <c r="T2030" s="540"/>
      <c r="U2030" s="540"/>
      <c r="V2030" s="540"/>
      <c r="W2030" s="540"/>
      <c r="X2030" s="540"/>
      <c r="Y2030" s="540"/>
      <c r="Z2030" s="540"/>
    </row>
    <row r="2031" spans="1:26" ht="19">
      <c r="A2031" s="631"/>
      <c r="B2031" s="631"/>
      <c r="C2031" s="631"/>
      <c r="D2031" s="832"/>
      <c r="E2031" s="631"/>
      <c r="F2031" s="631"/>
      <c r="G2031" s="631"/>
      <c r="H2031" s="833"/>
      <c r="I2031" s="834"/>
      <c r="J2031" s="834"/>
      <c r="K2031" s="835"/>
      <c r="L2031" s="835"/>
      <c r="M2031" s="835"/>
      <c r="N2031" s="835"/>
      <c r="O2031" s="835"/>
      <c r="P2031" s="835"/>
      <c r="Q2031" s="540"/>
      <c r="R2031" s="540"/>
      <c r="S2031" s="540"/>
      <c r="T2031" s="540"/>
      <c r="U2031" s="540"/>
      <c r="V2031" s="540"/>
      <c r="W2031" s="540"/>
      <c r="X2031" s="540"/>
      <c r="Y2031" s="540"/>
      <c r="Z2031" s="540"/>
    </row>
    <row r="2032" spans="1:26" ht="19">
      <c r="A2032" s="631"/>
      <c r="B2032" s="631"/>
      <c r="C2032" s="631"/>
      <c r="D2032" s="832"/>
      <c r="E2032" s="631"/>
      <c r="F2032" s="631"/>
      <c r="G2032" s="631"/>
      <c r="H2032" s="833"/>
      <c r="I2032" s="834"/>
      <c r="J2032" s="834"/>
      <c r="K2032" s="835"/>
      <c r="L2032" s="835"/>
      <c r="M2032" s="835"/>
      <c r="N2032" s="835"/>
      <c r="O2032" s="835"/>
      <c r="P2032" s="835"/>
      <c r="Q2032" s="540"/>
      <c r="R2032" s="540"/>
      <c r="S2032" s="540"/>
      <c r="T2032" s="540"/>
      <c r="U2032" s="540"/>
      <c r="V2032" s="540"/>
      <c r="W2032" s="540"/>
      <c r="X2032" s="540"/>
      <c r="Y2032" s="540"/>
      <c r="Z2032" s="540"/>
    </row>
    <row r="2033" spans="1:26" ht="19">
      <c r="A2033" s="631"/>
      <c r="B2033" s="631"/>
      <c r="C2033" s="631"/>
      <c r="D2033" s="832"/>
      <c r="E2033" s="631"/>
      <c r="F2033" s="631"/>
      <c r="G2033" s="631"/>
      <c r="H2033" s="833"/>
      <c r="I2033" s="834"/>
      <c r="J2033" s="834"/>
      <c r="K2033" s="835"/>
      <c r="L2033" s="835"/>
      <c r="M2033" s="835"/>
      <c r="N2033" s="835"/>
      <c r="O2033" s="835"/>
      <c r="P2033" s="835"/>
      <c r="Q2033" s="540"/>
      <c r="R2033" s="540"/>
      <c r="S2033" s="540"/>
      <c r="T2033" s="540"/>
      <c r="U2033" s="540"/>
      <c r="V2033" s="540"/>
      <c r="W2033" s="540"/>
      <c r="X2033" s="540"/>
      <c r="Y2033" s="540"/>
      <c r="Z2033" s="540"/>
    </row>
    <row r="2034" spans="1:26" ht="19">
      <c r="A2034" s="631"/>
      <c r="B2034" s="631"/>
      <c r="C2034" s="631"/>
      <c r="D2034" s="832"/>
      <c r="E2034" s="631"/>
      <c r="F2034" s="631"/>
      <c r="G2034" s="631"/>
      <c r="H2034" s="833"/>
      <c r="I2034" s="834"/>
      <c r="J2034" s="834"/>
      <c r="K2034" s="835"/>
      <c r="L2034" s="835"/>
      <c r="M2034" s="835"/>
      <c r="N2034" s="835"/>
      <c r="O2034" s="835"/>
      <c r="P2034" s="835"/>
      <c r="Q2034" s="540"/>
      <c r="R2034" s="540"/>
      <c r="S2034" s="540"/>
      <c r="T2034" s="540"/>
      <c r="U2034" s="540"/>
      <c r="V2034" s="540"/>
      <c r="W2034" s="540"/>
      <c r="X2034" s="540"/>
      <c r="Y2034" s="540"/>
      <c r="Z2034" s="540"/>
    </row>
    <row r="2035" spans="1:26" ht="19">
      <c r="A2035" s="631"/>
      <c r="B2035" s="631"/>
      <c r="C2035" s="631"/>
      <c r="D2035" s="832"/>
      <c r="E2035" s="631"/>
      <c r="F2035" s="631"/>
      <c r="G2035" s="631"/>
      <c r="H2035" s="833"/>
      <c r="I2035" s="834"/>
      <c r="J2035" s="834"/>
      <c r="K2035" s="835"/>
      <c r="L2035" s="835"/>
      <c r="M2035" s="835"/>
      <c r="N2035" s="835"/>
      <c r="O2035" s="835"/>
      <c r="P2035" s="835"/>
      <c r="Q2035" s="540"/>
      <c r="R2035" s="540"/>
      <c r="S2035" s="540"/>
      <c r="T2035" s="540"/>
      <c r="U2035" s="540"/>
      <c r="V2035" s="540"/>
      <c r="W2035" s="540"/>
      <c r="X2035" s="540"/>
      <c r="Y2035" s="540"/>
      <c r="Z2035" s="540"/>
    </row>
    <row r="2036" spans="1:26" ht="19">
      <c r="A2036" s="631"/>
      <c r="B2036" s="631"/>
      <c r="C2036" s="631"/>
      <c r="D2036" s="832"/>
      <c r="E2036" s="631"/>
      <c r="F2036" s="631"/>
      <c r="G2036" s="631"/>
      <c r="H2036" s="833"/>
      <c r="I2036" s="834"/>
      <c r="J2036" s="834"/>
      <c r="K2036" s="835"/>
      <c r="L2036" s="835"/>
      <c r="M2036" s="835"/>
      <c r="N2036" s="835"/>
      <c r="O2036" s="835"/>
      <c r="P2036" s="835"/>
      <c r="Q2036" s="540"/>
      <c r="R2036" s="540"/>
      <c r="S2036" s="540"/>
      <c r="T2036" s="540"/>
      <c r="U2036" s="540"/>
      <c r="V2036" s="540"/>
      <c r="W2036" s="540"/>
      <c r="X2036" s="540"/>
      <c r="Y2036" s="540"/>
      <c r="Z2036" s="540"/>
    </row>
    <row r="2037" spans="1:26" ht="19">
      <c r="A2037" s="631"/>
      <c r="B2037" s="631"/>
      <c r="C2037" s="631"/>
      <c r="D2037" s="832"/>
      <c r="E2037" s="631"/>
      <c r="F2037" s="631"/>
      <c r="G2037" s="631"/>
      <c r="H2037" s="833"/>
      <c r="I2037" s="834"/>
      <c r="J2037" s="834"/>
      <c r="K2037" s="835"/>
      <c r="L2037" s="835"/>
      <c r="M2037" s="835"/>
      <c r="N2037" s="835"/>
      <c r="O2037" s="835"/>
      <c r="P2037" s="835"/>
      <c r="Q2037" s="540"/>
      <c r="R2037" s="540"/>
      <c r="S2037" s="540"/>
      <c r="T2037" s="540"/>
      <c r="U2037" s="540"/>
      <c r="V2037" s="540"/>
      <c r="W2037" s="540"/>
      <c r="X2037" s="540"/>
      <c r="Y2037" s="540"/>
      <c r="Z2037" s="540"/>
    </row>
    <row r="2038" spans="1:26" ht="19">
      <c r="A2038" s="631"/>
      <c r="B2038" s="631"/>
      <c r="C2038" s="631"/>
      <c r="D2038" s="832"/>
      <c r="E2038" s="631"/>
      <c r="F2038" s="631"/>
      <c r="G2038" s="631"/>
      <c r="H2038" s="833"/>
      <c r="I2038" s="834"/>
      <c r="J2038" s="834"/>
      <c r="K2038" s="835"/>
      <c r="L2038" s="835"/>
      <c r="M2038" s="835"/>
      <c r="N2038" s="835"/>
      <c r="O2038" s="835"/>
      <c r="P2038" s="835"/>
      <c r="Q2038" s="540"/>
      <c r="R2038" s="540"/>
      <c r="S2038" s="540"/>
      <c r="T2038" s="540"/>
      <c r="U2038" s="540"/>
      <c r="V2038" s="540"/>
      <c r="W2038" s="540"/>
      <c r="X2038" s="540"/>
      <c r="Y2038" s="540"/>
      <c r="Z2038" s="540"/>
    </row>
    <row r="2039" spans="1:26" ht="19">
      <c r="A2039" s="631"/>
      <c r="B2039" s="631"/>
      <c r="C2039" s="631"/>
      <c r="D2039" s="832"/>
      <c r="E2039" s="631"/>
      <c r="F2039" s="631"/>
      <c r="G2039" s="631"/>
      <c r="H2039" s="833"/>
      <c r="I2039" s="834"/>
      <c r="J2039" s="834"/>
      <c r="K2039" s="835"/>
      <c r="L2039" s="835"/>
      <c r="M2039" s="835"/>
      <c r="N2039" s="835"/>
      <c r="O2039" s="835"/>
      <c r="P2039" s="835"/>
      <c r="Q2039" s="540"/>
      <c r="R2039" s="540"/>
      <c r="S2039" s="540"/>
      <c r="T2039" s="540"/>
      <c r="U2039" s="540"/>
      <c r="V2039" s="540"/>
      <c r="W2039" s="540"/>
      <c r="X2039" s="540"/>
      <c r="Y2039" s="540"/>
      <c r="Z2039" s="540"/>
    </row>
    <row r="2040" spans="1:26" ht="19">
      <c r="A2040" s="631"/>
      <c r="B2040" s="631"/>
      <c r="C2040" s="631"/>
      <c r="D2040" s="832"/>
      <c r="E2040" s="631"/>
      <c r="F2040" s="631"/>
      <c r="G2040" s="631"/>
      <c r="H2040" s="833"/>
      <c r="I2040" s="834"/>
      <c r="J2040" s="834"/>
      <c r="K2040" s="835"/>
      <c r="L2040" s="835"/>
      <c r="M2040" s="835"/>
      <c r="N2040" s="835"/>
      <c r="O2040" s="835"/>
      <c r="P2040" s="835"/>
      <c r="Q2040" s="540"/>
      <c r="R2040" s="540"/>
      <c r="S2040" s="540"/>
      <c r="T2040" s="540"/>
      <c r="U2040" s="540"/>
      <c r="V2040" s="540"/>
      <c r="W2040" s="540"/>
      <c r="X2040" s="540"/>
      <c r="Y2040" s="540"/>
      <c r="Z2040" s="540"/>
    </row>
    <row r="2041" spans="1:26" ht="19">
      <c r="A2041" s="631"/>
      <c r="B2041" s="631"/>
      <c r="C2041" s="631"/>
      <c r="D2041" s="832"/>
      <c r="E2041" s="631"/>
      <c r="F2041" s="631"/>
      <c r="G2041" s="631"/>
      <c r="H2041" s="833"/>
      <c r="I2041" s="834"/>
      <c r="J2041" s="834"/>
      <c r="K2041" s="835"/>
      <c r="L2041" s="835"/>
      <c r="M2041" s="835"/>
      <c r="N2041" s="835"/>
      <c r="O2041" s="835"/>
      <c r="P2041" s="835"/>
      <c r="Q2041" s="540"/>
      <c r="R2041" s="540"/>
      <c r="S2041" s="540"/>
      <c r="T2041" s="540"/>
      <c r="U2041" s="540"/>
      <c r="V2041" s="540"/>
      <c r="W2041" s="540"/>
      <c r="X2041" s="540"/>
      <c r="Y2041" s="540"/>
      <c r="Z2041" s="540"/>
    </row>
    <row r="2042" spans="1:26" ht="19">
      <c r="A2042" s="631"/>
      <c r="B2042" s="631"/>
      <c r="C2042" s="631"/>
      <c r="D2042" s="832"/>
      <c r="E2042" s="631"/>
      <c r="F2042" s="631"/>
      <c r="G2042" s="631"/>
      <c r="H2042" s="833"/>
      <c r="I2042" s="834"/>
      <c r="J2042" s="834"/>
      <c r="K2042" s="835"/>
      <c r="L2042" s="835"/>
      <c r="M2042" s="835"/>
      <c r="N2042" s="835"/>
      <c r="O2042" s="835"/>
      <c r="P2042" s="835"/>
      <c r="Q2042" s="540"/>
      <c r="R2042" s="540"/>
      <c r="S2042" s="540"/>
      <c r="T2042" s="540"/>
      <c r="U2042" s="540"/>
      <c r="V2042" s="540"/>
      <c r="W2042" s="540"/>
      <c r="X2042" s="540"/>
      <c r="Y2042" s="540"/>
      <c r="Z2042" s="540"/>
    </row>
    <row r="2043" spans="1:26" ht="19">
      <c r="A2043" s="631"/>
      <c r="B2043" s="631"/>
      <c r="C2043" s="631"/>
      <c r="D2043" s="832"/>
      <c r="E2043" s="631"/>
      <c r="F2043" s="631"/>
      <c r="G2043" s="631"/>
      <c r="H2043" s="833"/>
      <c r="I2043" s="834"/>
      <c r="J2043" s="834"/>
      <c r="K2043" s="835"/>
      <c r="L2043" s="835"/>
      <c r="M2043" s="835"/>
      <c r="N2043" s="835"/>
      <c r="O2043" s="835"/>
      <c r="P2043" s="835"/>
      <c r="Q2043" s="540"/>
      <c r="R2043" s="540"/>
      <c r="S2043" s="540"/>
      <c r="T2043" s="540"/>
      <c r="U2043" s="540"/>
      <c r="V2043" s="540"/>
      <c r="W2043" s="540"/>
      <c r="X2043" s="540"/>
      <c r="Y2043" s="540"/>
      <c r="Z2043" s="540"/>
    </row>
    <row r="2044" spans="1:26" ht="19">
      <c r="A2044" s="631"/>
      <c r="B2044" s="631"/>
      <c r="C2044" s="631"/>
      <c r="D2044" s="832"/>
      <c r="E2044" s="631"/>
      <c r="F2044" s="631"/>
      <c r="G2044" s="631"/>
      <c r="H2044" s="833"/>
      <c r="I2044" s="834"/>
      <c r="J2044" s="834"/>
      <c r="K2044" s="835"/>
      <c r="L2044" s="835"/>
      <c r="M2044" s="835"/>
      <c r="N2044" s="835"/>
      <c r="O2044" s="835"/>
      <c r="P2044" s="835"/>
      <c r="Q2044" s="540"/>
      <c r="R2044" s="540"/>
      <c r="S2044" s="540"/>
      <c r="T2044" s="540"/>
      <c r="U2044" s="540"/>
      <c r="V2044" s="540"/>
      <c r="W2044" s="540"/>
      <c r="X2044" s="540"/>
      <c r="Y2044" s="540"/>
      <c r="Z2044" s="540"/>
    </row>
    <row r="2045" spans="1:26" ht="19">
      <c r="A2045" s="631"/>
      <c r="B2045" s="631"/>
      <c r="C2045" s="631"/>
      <c r="D2045" s="832"/>
      <c r="E2045" s="631"/>
      <c r="F2045" s="631"/>
      <c r="G2045" s="631"/>
      <c r="H2045" s="833"/>
      <c r="I2045" s="834"/>
      <c r="J2045" s="834"/>
      <c r="K2045" s="835"/>
      <c r="L2045" s="835"/>
      <c r="M2045" s="835"/>
      <c r="N2045" s="835"/>
      <c r="O2045" s="835"/>
      <c r="P2045" s="835"/>
      <c r="Q2045" s="540"/>
      <c r="R2045" s="540"/>
      <c r="S2045" s="540"/>
      <c r="T2045" s="540"/>
      <c r="U2045" s="540"/>
      <c r="V2045" s="540"/>
      <c r="W2045" s="540"/>
      <c r="X2045" s="540"/>
      <c r="Y2045" s="540"/>
      <c r="Z2045" s="540"/>
    </row>
    <row r="2046" spans="1:26" ht="19">
      <c r="A2046" s="631"/>
      <c r="B2046" s="631"/>
      <c r="C2046" s="631"/>
      <c r="D2046" s="832"/>
      <c r="E2046" s="631"/>
      <c r="F2046" s="631"/>
      <c r="G2046" s="631"/>
      <c r="H2046" s="833"/>
      <c r="I2046" s="834"/>
      <c r="J2046" s="834"/>
      <c r="K2046" s="835"/>
      <c r="L2046" s="835"/>
      <c r="M2046" s="835"/>
      <c r="N2046" s="835"/>
      <c r="O2046" s="835"/>
      <c r="P2046" s="835"/>
      <c r="Q2046" s="540"/>
      <c r="R2046" s="540"/>
      <c r="S2046" s="540"/>
      <c r="T2046" s="540"/>
      <c r="U2046" s="540"/>
      <c r="V2046" s="540"/>
      <c r="W2046" s="540"/>
      <c r="X2046" s="540"/>
      <c r="Y2046" s="540"/>
      <c r="Z2046" s="540"/>
    </row>
    <row r="2047" spans="1:26" ht="19">
      <c r="A2047" s="631"/>
      <c r="B2047" s="631"/>
      <c r="C2047" s="631"/>
      <c r="D2047" s="832"/>
      <c r="E2047" s="631"/>
      <c r="F2047" s="631"/>
      <c r="G2047" s="631"/>
      <c r="H2047" s="833"/>
      <c r="I2047" s="834"/>
      <c r="J2047" s="834"/>
      <c r="K2047" s="835"/>
      <c r="L2047" s="835"/>
      <c r="M2047" s="835"/>
      <c r="N2047" s="835"/>
      <c r="O2047" s="835"/>
      <c r="P2047" s="835"/>
      <c r="Q2047" s="540"/>
      <c r="R2047" s="540"/>
      <c r="S2047" s="540"/>
      <c r="T2047" s="540"/>
      <c r="U2047" s="540"/>
      <c r="V2047" s="540"/>
      <c r="W2047" s="540"/>
      <c r="X2047" s="540"/>
      <c r="Y2047" s="540"/>
      <c r="Z2047" s="540"/>
    </row>
    <row r="2048" spans="1:26" ht="19">
      <c r="A2048" s="631"/>
      <c r="B2048" s="631"/>
      <c r="C2048" s="631"/>
      <c r="D2048" s="832"/>
      <c r="E2048" s="631"/>
      <c r="F2048" s="631"/>
      <c r="G2048" s="631"/>
      <c r="H2048" s="833"/>
      <c r="I2048" s="834"/>
      <c r="J2048" s="834"/>
      <c r="K2048" s="835"/>
      <c r="L2048" s="835"/>
      <c r="M2048" s="835"/>
      <c r="N2048" s="835"/>
      <c r="O2048" s="835"/>
      <c r="P2048" s="835"/>
      <c r="Q2048" s="540"/>
      <c r="R2048" s="540"/>
      <c r="S2048" s="540"/>
      <c r="T2048" s="540"/>
      <c r="U2048" s="540"/>
      <c r="V2048" s="540"/>
      <c r="W2048" s="540"/>
      <c r="X2048" s="540"/>
      <c r="Y2048" s="540"/>
      <c r="Z2048" s="540"/>
    </row>
    <row r="2049" spans="1:26" ht="19">
      <c r="A2049" s="631"/>
      <c r="B2049" s="631"/>
      <c r="C2049" s="631"/>
      <c r="D2049" s="832"/>
      <c r="E2049" s="631"/>
      <c r="F2049" s="631"/>
      <c r="G2049" s="631"/>
      <c r="H2049" s="833"/>
      <c r="I2049" s="834"/>
      <c r="J2049" s="834"/>
      <c r="K2049" s="835"/>
      <c r="L2049" s="835"/>
      <c r="M2049" s="835"/>
      <c r="N2049" s="835"/>
      <c r="O2049" s="835"/>
      <c r="P2049" s="835"/>
      <c r="Q2049" s="540"/>
      <c r="R2049" s="540"/>
      <c r="S2049" s="540"/>
      <c r="T2049" s="540"/>
      <c r="U2049" s="540"/>
      <c r="V2049" s="540"/>
      <c r="W2049" s="540"/>
      <c r="X2049" s="540"/>
      <c r="Y2049" s="540"/>
      <c r="Z2049" s="540"/>
    </row>
    <row r="2050" spans="1:26" ht="19">
      <c r="A2050" s="631"/>
      <c r="B2050" s="631"/>
      <c r="C2050" s="631"/>
      <c r="D2050" s="832"/>
      <c r="E2050" s="631"/>
      <c r="F2050" s="631"/>
      <c r="G2050" s="631"/>
      <c r="H2050" s="833"/>
      <c r="I2050" s="834"/>
      <c r="J2050" s="834"/>
      <c r="K2050" s="835"/>
      <c r="L2050" s="835"/>
      <c r="M2050" s="835"/>
      <c r="N2050" s="835"/>
      <c r="O2050" s="835"/>
      <c r="P2050" s="835"/>
      <c r="Q2050" s="540"/>
      <c r="R2050" s="540"/>
      <c r="S2050" s="540"/>
      <c r="T2050" s="540"/>
      <c r="U2050" s="540"/>
      <c r="V2050" s="540"/>
      <c r="W2050" s="540"/>
      <c r="X2050" s="540"/>
      <c r="Y2050" s="540"/>
      <c r="Z2050" s="540"/>
    </row>
    <row r="2051" spans="1:26" ht="19">
      <c r="A2051" s="631"/>
      <c r="B2051" s="631"/>
      <c r="C2051" s="631"/>
      <c r="D2051" s="832"/>
      <c r="E2051" s="631"/>
      <c r="F2051" s="631"/>
      <c r="G2051" s="631"/>
      <c r="H2051" s="833"/>
      <c r="I2051" s="834"/>
      <c r="J2051" s="834"/>
      <c r="K2051" s="835"/>
      <c r="L2051" s="835"/>
      <c r="M2051" s="835"/>
      <c r="N2051" s="835"/>
      <c r="O2051" s="835"/>
      <c r="P2051" s="835"/>
      <c r="Q2051" s="540"/>
      <c r="R2051" s="540"/>
      <c r="S2051" s="540"/>
      <c r="T2051" s="540"/>
      <c r="U2051" s="540"/>
      <c r="V2051" s="540"/>
      <c r="W2051" s="540"/>
      <c r="X2051" s="540"/>
      <c r="Y2051" s="540"/>
      <c r="Z2051" s="540"/>
    </row>
    <row r="2052" spans="1:26" ht="19">
      <c r="A2052" s="631"/>
      <c r="B2052" s="631"/>
      <c r="C2052" s="631"/>
      <c r="D2052" s="832"/>
      <c r="E2052" s="631"/>
      <c r="F2052" s="631"/>
      <c r="G2052" s="631"/>
      <c r="H2052" s="833"/>
      <c r="I2052" s="834"/>
      <c r="J2052" s="834"/>
      <c r="K2052" s="835"/>
      <c r="L2052" s="835"/>
      <c r="M2052" s="835"/>
      <c r="N2052" s="835"/>
      <c r="O2052" s="835"/>
      <c r="P2052" s="835"/>
      <c r="Q2052" s="540"/>
      <c r="R2052" s="540"/>
      <c r="S2052" s="540"/>
      <c r="T2052" s="540"/>
      <c r="U2052" s="540"/>
      <c r="V2052" s="540"/>
      <c r="W2052" s="540"/>
      <c r="X2052" s="540"/>
      <c r="Y2052" s="540"/>
      <c r="Z2052" s="540"/>
    </row>
    <row r="2053" spans="1:26" ht="19">
      <c r="A2053" s="631"/>
      <c r="B2053" s="631"/>
      <c r="C2053" s="631"/>
      <c r="D2053" s="832"/>
      <c r="E2053" s="631"/>
      <c r="F2053" s="631"/>
      <c r="G2053" s="631"/>
      <c r="H2053" s="833"/>
      <c r="I2053" s="834"/>
      <c r="J2053" s="834"/>
      <c r="K2053" s="835"/>
      <c r="L2053" s="835"/>
      <c r="M2053" s="835"/>
      <c r="N2053" s="835"/>
      <c r="O2053" s="835"/>
      <c r="P2053" s="835"/>
      <c r="Q2053" s="540"/>
      <c r="R2053" s="540"/>
      <c r="S2053" s="540"/>
      <c r="T2053" s="540"/>
      <c r="U2053" s="540"/>
      <c r="V2053" s="540"/>
      <c r="W2053" s="540"/>
      <c r="X2053" s="540"/>
      <c r="Y2053" s="540"/>
      <c r="Z2053" s="540"/>
    </row>
    <row r="2054" spans="1:26" ht="19">
      <c r="A2054" s="631"/>
      <c r="B2054" s="631"/>
      <c r="C2054" s="631"/>
      <c r="D2054" s="832"/>
      <c r="E2054" s="631"/>
      <c r="F2054" s="631"/>
      <c r="G2054" s="631"/>
      <c r="H2054" s="833"/>
      <c r="I2054" s="834"/>
      <c r="J2054" s="834"/>
      <c r="K2054" s="835"/>
      <c r="L2054" s="835"/>
      <c r="M2054" s="835"/>
      <c r="N2054" s="835"/>
      <c r="O2054" s="835"/>
      <c r="P2054" s="835"/>
      <c r="Q2054" s="540"/>
      <c r="R2054" s="540"/>
      <c r="S2054" s="540"/>
      <c r="T2054" s="540"/>
      <c r="U2054" s="540"/>
      <c r="V2054" s="540"/>
      <c r="W2054" s="540"/>
      <c r="X2054" s="540"/>
      <c r="Y2054" s="540"/>
      <c r="Z2054" s="540"/>
    </row>
    <row r="2055" spans="1:26" ht="19">
      <c r="A2055" s="631"/>
      <c r="B2055" s="631"/>
      <c r="C2055" s="631"/>
      <c r="D2055" s="832"/>
      <c r="E2055" s="631"/>
      <c r="F2055" s="631"/>
      <c r="G2055" s="631"/>
      <c r="H2055" s="833"/>
      <c r="I2055" s="834"/>
      <c r="J2055" s="834"/>
      <c r="K2055" s="835"/>
      <c r="L2055" s="835"/>
      <c r="M2055" s="835"/>
      <c r="N2055" s="835"/>
      <c r="O2055" s="835"/>
      <c r="P2055" s="835"/>
      <c r="Q2055" s="540"/>
      <c r="R2055" s="540"/>
      <c r="S2055" s="540"/>
      <c r="T2055" s="540"/>
      <c r="U2055" s="540"/>
      <c r="V2055" s="540"/>
      <c r="W2055" s="540"/>
      <c r="X2055" s="540"/>
      <c r="Y2055" s="540"/>
      <c r="Z2055" s="540"/>
    </row>
    <row r="2056" spans="1:26" ht="19">
      <c r="A2056" s="631"/>
      <c r="B2056" s="631"/>
      <c r="C2056" s="631"/>
      <c r="D2056" s="832"/>
      <c r="E2056" s="631"/>
      <c r="F2056" s="631"/>
      <c r="G2056" s="631"/>
      <c r="H2056" s="833"/>
      <c r="I2056" s="834"/>
      <c r="J2056" s="834"/>
      <c r="K2056" s="835"/>
      <c r="L2056" s="835"/>
      <c r="M2056" s="835"/>
      <c r="N2056" s="835"/>
      <c r="O2056" s="835"/>
      <c r="P2056" s="835"/>
      <c r="Q2056" s="540"/>
      <c r="R2056" s="540"/>
      <c r="S2056" s="540"/>
      <c r="T2056" s="540"/>
      <c r="U2056" s="540"/>
      <c r="V2056" s="540"/>
      <c r="W2056" s="540"/>
      <c r="X2056" s="540"/>
      <c r="Y2056" s="540"/>
      <c r="Z2056" s="540"/>
    </row>
    <row r="2057" spans="1:26" ht="19">
      <c r="A2057" s="631"/>
      <c r="B2057" s="631"/>
      <c r="C2057" s="631"/>
      <c r="D2057" s="832"/>
      <c r="E2057" s="631"/>
      <c r="F2057" s="631"/>
      <c r="G2057" s="631"/>
      <c r="H2057" s="833"/>
      <c r="I2057" s="834"/>
      <c r="J2057" s="834"/>
      <c r="K2057" s="835"/>
      <c r="L2057" s="835"/>
      <c r="M2057" s="835"/>
      <c r="N2057" s="835"/>
      <c r="O2057" s="835"/>
      <c r="P2057" s="835"/>
      <c r="Q2057" s="540"/>
      <c r="R2057" s="540"/>
      <c r="S2057" s="540"/>
      <c r="T2057" s="540"/>
      <c r="U2057" s="540"/>
      <c r="V2057" s="540"/>
      <c r="W2057" s="540"/>
      <c r="X2057" s="540"/>
      <c r="Y2057" s="540"/>
      <c r="Z2057" s="540"/>
    </row>
    <row r="2058" spans="1:26" ht="19">
      <c r="A2058" s="631"/>
      <c r="B2058" s="631"/>
      <c r="C2058" s="631"/>
      <c r="D2058" s="832"/>
      <c r="E2058" s="631"/>
      <c r="F2058" s="631"/>
      <c r="G2058" s="631"/>
      <c r="H2058" s="833"/>
      <c r="I2058" s="834"/>
      <c r="J2058" s="834"/>
      <c r="K2058" s="835"/>
      <c r="L2058" s="835"/>
      <c r="M2058" s="835"/>
      <c r="N2058" s="835"/>
      <c r="O2058" s="835"/>
      <c r="P2058" s="835"/>
      <c r="Q2058" s="540"/>
      <c r="R2058" s="540"/>
      <c r="S2058" s="540"/>
      <c r="T2058" s="540"/>
      <c r="U2058" s="540"/>
      <c r="V2058" s="540"/>
      <c r="W2058" s="540"/>
      <c r="X2058" s="540"/>
      <c r="Y2058" s="540"/>
      <c r="Z2058" s="540"/>
    </row>
    <row r="2059" spans="1:26" ht="19">
      <c r="A2059" s="631"/>
      <c r="B2059" s="631"/>
      <c r="C2059" s="631"/>
      <c r="D2059" s="832"/>
      <c r="E2059" s="631"/>
      <c r="F2059" s="631"/>
      <c r="G2059" s="631"/>
      <c r="H2059" s="833"/>
      <c r="I2059" s="834"/>
      <c r="J2059" s="834"/>
      <c r="K2059" s="835"/>
      <c r="L2059" s="835"/>
      <c r="M2059" s="835"/>
      <c r="N2059" s="835"/>
      <c r="O2059" s="835"/>
      <c r="P2059" s="835"/>
      <c r="Q2059" s="540"/>
      <c r="R2059" s="540"/>
      <c r="S2059" s="540"/>
      <c r="T2059" s="540"/>
      <c r="U2059" s="540"/>
      <c r="V2059" s="540"/>
      <c r="W2059" s="540"/>
      <c r="X2059" s="540"/>
      <c r="Y2059" s="540"/>
      <c r="Z2059" s="540"/>
    </row>
    <row r="2060" spans="1:26" ht="19">
      <c r="A2060" s="631"/>
      <c r="B2060" s="631"/>
      <c r="C2060" s="631"/>
      <c r="D2060" s="832"/>
      <c r="E2060" s="631"/>
      <c r="F2060" s="631"/>
      <c r="G2060" s="631"/>
      <c r="H2060" s="833"/>
      <c r="I2060" s="834"/>
      <c r="J2060" s="834"/>
      <c r="K2060" s="835"/>
      <c r="L2060" s="835"/>
      <c r="M2060" s="835"/>
      <c r="N2060" s="835"/>
      <c r="O2060" s="835"/>
      <c r="P2060" s="835"/>
      <c r="Q2060" s="540"/>
      <c r="R2060" s="540"/>
      <c r="S2060" s="540"/>
      <c r="T2060" s="540"/>
      <c r="U2060" s="540"/>
      <c r="V2060" s="540"/>
      <c r="W2060" s="540"/>
      <c r="X2060" s="540"/>
      <c r="Y2060" s="540"/>
      <c r="Z2060" s="540"/>
    </row>
    <row r="2061" spans="1:26" ht="19">
      <c r="A2061" s="631"/>
      <c r="B2061" s="631"/>
      <c r="C2061" s="631"/>
      <c r="D2061" s="832"/>
      <c r="E2061" s="631"/>
      <c r="F2061" s="631"/>
      <c r="G2061" s="631"/>
      <c r="H2061" s="833"/>
      <c r="I2061" s="834"/>
      <c r="J2061" s="834"/>
      <c r="K2061" s="835"/>
      <c r="L2061" s="835"/>
      <c r="M2061" s="835"/>
      <c r="N2061" s="835"/>
      <c r="O2061" s="835"/>
      <c r="P2061" s="835"/>
      <c r="Q2061" s="540"/>
      <c r="R2061" s="540"/>
      <c r="S2061" s="540"/>
      <c r="T2061" s="540"/>
      <c r="U2061" s="540"/>
      <c r="V2061" s="540"/>
      <c r="W2061" s="540"/>
      <c r="X2061" s="540"/>
      <c r="Y2061" s="540"/>
      <c r="Z2061" s="540"/>
    </row>
    <row r="2062" spans="1:26" ht="19">
      <c r="A2062" s="631"/>
      <c r="B2062" s="631"/>
      <c r="C2062" s="631"/>
      <c r="D2062" s="832"/>
      <c r="E2062" s="631"/>
      <c r="F2062" s="631"/>
      <c r="G2062" s="631"/>
      <c r="H2062" s="833"/>
      <c r="I2062" s="834"/>
      <c r="J2062" s="834"/>
      <c r="K2062" s="835"/>
      <c r="L2062" s="835"/>
      <c r="M2062" s="835"/>
      <c r="N2062" s="835"/>
      <c r="O2062" s="835"/>
      <c r="P2062" s="835"/>
      <c r="Q2062" s="540"/>
      <c r="R2062" s="540"/>
      <c r="S2062" s="540"/>
      <c r="T2062" s="540"/>
      <c r="U2062" s="540"/>
      <c r="V2062" s="540"/>
      <c r="W2062" s="540"/>
      <c r="X2062" s="540"/>
      <c r="Y2062" s="540"/>
      <c r="Z2062" s="540"/>
    </row>
    <row r="2063" spans="1:26" ht="19">
      <c r="A2063" s="631"/>
      <c r="B2063" s="631"/>
      <c r="C2063" s="631"/>
      <c r="D2063" s="832"/>
      <c r="E2063" s="631"/>
      <c r="F2063" s="631"/>
      <c r="G2063" s="631"/>
      <c r="H2063" s="833"/>
      <c r="I2063" s="834"/>
      <c r="J2063" s="834"/>
      <c r="K2063" s="835"/>
      <c r="L2063" s="835"/>
      <c r="M2063" s="835"/>
      <c r="N2063" s="835"/>
      <c r="O2063" s="835"/>
      <c r="P2063" s="835"/>
      <c r="Q2063" s="540"/>
      <c r="R2063" s="540"/>
      <c r="S2063" s="540"/>
      <c r="T2063" s="540"/>
      <c r="U2063" s="540"/>
      <c r="V2063" s="540"/>
      <c r="W2063" s="540"/>
      <c r="X2063" s="540"/>
      <c r="Y2063" s="540"/>
      <c r="Z2063" s="540"/>
    </row>
    <row r="2064" spans="1:26" ht="19">
      <c r="A2064" s="631"/>
      <c r="B2064" s="631"/>
      <c r="C2064" s="631"/>
      <c r="D2064" s="832"/>
      <c r="E2064" s="631"/>
      <c r="F2064" s="631"/>
      <c r="G2064" s="631"/>
      <c r="H2064" s="833"/>
      <c r="I2064" s="834"/>
      <c r="J2064" s="834"/>
      <c r="K2064" s="835"/>
      <c r="L2064" s="835"/>
      <c r="M2064" s="835"/>
      <c r="N2064" s="835"/>
      <c r="O2064" s="835"/>
      <c r="P2064" s="835"/>
      <c r="Q2064" s="540"/>
      <c r="R2064" s="540"/>
      <c r="S2064" s="540"/>
      <c r="T2064" s="540"/>
      <c r="U2064" s="540"/>
      <c r="V2064" s="540"/>
      <c r="W2064" s="540"/>
      <c r="X2064" s="540"/>
      <c r="Y2064" s="540"/>
      <c r="Z2064" s="540"/>
    </row>
    <row r="2065" spans="1:26" ht="19">
      <c r="A2065" s="631"/>
      <c r="B2065" s="631"/>
      <c r="C2065" s="631"/>
      <c r="D2065" s="832"/>
      <c r="E2065" s="631"/>
      <c r="F2065" s="631"/>
      <c r="G2065" s="631"/>
      <c r="H2065" s="833"/>
      <c r="I2065" s="834"/>
      <c r="J2065" s="834"/>
      <c r="K2065" s="835"/>
      <c r="L2065" s="835"/>
      <c r="M2065" s="835"/>
      <c r="N2065" s="835"/>
      <c r="O2065" s="835"/>
      <c r="P2065" s="835"/>
      <c r="Q2065" s="540"/>
      <c r="R2065" s="540"/>
      <c r="S2065" s="540"/>
      <c r="T2065" s="540"/>
      <c r="U2065" s="540"/>
      <c r="V2065" s="540"/>
      <c r="W2065" s="540"/>
      <c r="X2065" s="540"/>
      <c r="Y2065" s="540"/>
      <c r="Z2065" s="540"/>
    </row>
    <row r="2066" spans="1:26" ht="19">
      <c r="A2066" s="631"/>
      <c r="B2066" s="631"/>
      <c r="C2066" s="631"/>
      <c r="D2066" s="832"/>
      <c r="E2066" s="631"/>
      <c r="F2066" s="631"/>
      <c r="G2066" s="631"/>
      <c r="H2066" s="833"/>
      <c r="I2066" s="834"/>
      <c r="J2066" s="834"/>
      <c r="K2066" s="835"/>
      <c r="L2066" s="835"/>
      <c r="M2066" s="835"/>
      <c r="N2066" s="835"/>
      <c r="O2066" s="835"/>
      <c r="P2066" s="835"/>
      <c r="Q2066" s="540"/>
      <c r="R2066" s="540"/>
      <c r="S2066" s="540"/>
      <c r="T2066" s="540"/>
      <c r="U2066" s="540"/>
      <c r="V2066" s="540"/>
      <c r="W2066" s="540"/>
      <c r="X2066" s="540"/>
      <c r="Y2066" s="540"/>
      <c r="Z2066" s="540"/>
    </row>
    <row r="2067" spans="1:26" ht="19">
      <c r="A2067" s="631"/>
      <c r="B2067" s="631"/>
      <c r="C2067" s="631"/>
      <c r="D2067" s="832"/>
      <c r="E2067" s="631"/>
      <c r="F2067" s="631"/>
      <c r="G2067" s="631"/>
      <c r="H2067" s="833"/>
      <c r="I2067" s="834"/>
      <c r="J2067" s="834"/>
      <c r="K2067" s="835"/>
      <c r="L2067" s="835"/>
      <c r="M2067" s="835"/>
      <c r="N2067" s="835"/>
      <c r="O2067" s="835"/>
      <c r="P2067" s="835"/>
      <c r="Q2067" s="540"/>
      <c r="R2067" s="540"/>
      <c r="S2067" s="540"/>
      <c r="T2067" s="540"/>
      <c r="U2067" s="540"/>
      <c r="V2067" s="540"/>
      <c r="W2067" s="540"/>
      <c r="X2067" s="540"/>
      <c r="Y2067" s="540"/>
      <c r="Z2067" s="540"/>
    </row>
    <row r="2068" spans="1:26" ht="19">
      <c r="A2068" s="631"/>
      <c r="B2068" s="631"/>
      <c r="C2068" s="631"/>
      <c r="D2068" s="832"/>
      <c r="E2068" s="631"/>
      <c r="F2068" s="631"/>
      <c r="G2068" s="631"/>
      <c r="H2068" s="833"/>
      <c r="I2068" s="834"/>
      <c r="J2068" s="834"/>
      <c r="K2068" s="835"/>
      <c r="L2068" s="835"/>
      <c r="M2068" s="835"/>
      <c r="N2068" s="835"/>
      <c r="O2068" s="835"/>
      <c r="P2068" s="835"/>
      <c r="Q2068" s="540"/>
      <c r="R2068" s="540"/>
      <c r="S2068" s="540"/>
      <c r="T2068" s="540"/>
      <c r="U2068" s="540"/>
      <c r="V2068" s="540"/>
      <c r="W2068" s="540"/>
      <c r="X2068" s="540"/>
      <c r="Y2068" s="540"/>
      <c r="Z2068" s="540"/>
    </row>
    <row r="2069" spans="1:26" ht="19">
      <c r="A2069" s="631"/>
      <c r="B2069" s="631"/>
      <c r="C2069" s="631"/>
      <c r="D2069" s="832"/>
      <c r="E2069" s="631"/>
      <c r="F2069" s="631"/>
      <c r="G2069" s="631"/>
      <c r="H2069" s="833"/>
      <c r="I2069" s="834"/>
      <c r="J2069" s="834"/>
      <c r="K2069" s="835"/>
      <c r="L2069" s="835"/>
      <c r="M2069" s="835"/>
      <c r="N2069" s="835"/>
      <c r="O2069" s="835"/>
      <c r="P2069" s="835"/>
      <c r="Q2069" s="540"/>
      <c r="R2069" s="540"/>
      <c r="S2069" s="540"/>
      <c r="T2069" s="540"/>
      <c r="U2069" s="540"/>
      <c r="V2069" s="540"/>
      <c r="W2069" s="540"/>
      <c r="X2069" s="540"/>
      <c r="Y2069" s="540"/>
      <c r="Z2069" s="540"/>
    </row>
    <row r="2070" spans="1:26" ht="19">
      <c r="A2070" s="631"/>
      <c r="B2070" s="631"/>
      <c r="C2070" s="631"/>
      <c r="D2070" s="832"/>
      <c r="E2070" s="631"/>
      <c r="F2070" s="631"/>
      <c r="G2070" s="631"/>
      <c r="H2070" s="833"/>
      <c r="I2070" s="834"/>
      <c r="J2070" s="834"/>
      <c r="K2070" s="835"/>
      <c r="L2070" s="835"/>
      <c r="M2070" s="835"/>
      <c r="N2070" s="835"/>
      <c r="O2070" s="835"/>
      <c r="P2070" s="835"/>
      <c r="Q2070" s="540"/>
      <c r="R2070" s="540"/>
      <c r="S2070" s="540"/>
      <c r="T2070" s="540"/>
      <c r="U2070" s="540"/>
      <c r="V2070" s="540"/>
      <c r="W2070" s="540"/>
      <c r="X2070" s="540"/>
      <c r="Y2070" s="540"/>
      <c r="Z2070" s="540"/>
    </row>
    <row r="2071" spans="1:26" ht="19">
      <c r="A2071" s="631"/>
      <c r="B2071" s="631"/>
      <c r="C2071" s="631"/>
      <c r="D2071" s="832"/>
      <c r="E2071" s="631"/>
      <c r="F2071" s="631"/>
      <c r="G2071" s="631"/>
      <c r="H2071" s="833"/>
      <c r="I2071" s="834"/>
      <c r="J2071" s="834"/>
      <c r="K2071" s="835"/>
      <c r="L2071" s="835"/>
      <c r="M2071" s="835"/>
      <c r="N2071" s="835"/>
      <c r="O2071" s="835"/>
      <c r="P2071" s="835"/>
      <c r="Q2071" s="540"/>
      <c r="R2071" s="540"/>
      <c r="S2071" s="540"/>
      <c r="T2071" s="540"/>
      <c r="U2071" s="540"/>
      <c r="V2071" s="540"/>
      <c r="W2071" s="540"/>
      <c r="X2071" s="540"/>
      <c r="Y2071" s="540"/>
      <c r="Z2071" s="540"/>
    </row>
    <row r="2072" spans="1:26" ht="19">
      <c r="A2072" s="631"/>
      <c r="B2072" s="631"/>
      <c r="C2072" s="631"/>
      <c r="D2072" s="832"/>
      <c r="E2072" s="631"/>
      <c r="F2072" s="631"/>
      <c r="G2072" s="631"/>
      <c r="H2072" s="833"/>
      <c r="I2072" s="834"/>
      <c r="J2072" s="834"/>
      <c r="K2072" s="835"/>
      <c r="L2072" s="835"/>
      <c r="M2072" s="835"/>
      <c r="N2072" s="835"/>
      <c r="O2072" s="835"/>
      <c r="P2072" s="835"/>
      <c r="Q2072" s="540"/>
      <c r="R2072" s="540"/>
      <c r="S2072" s="540"/>
      <c r="T2072" s="540"/>
      <c r="U2072" s="540"/>
      <c r="V2072" s="540"/>
      <c r="W2072" s="540"/>
      <c r="X2072" s="540"/>
      <c r="Y2072" s="540"/>
      <c r="Z2072" s="540"/>
    </row>
    <row r="2073" spans="1:26" ht="19">
      <c r="A2073" s="631"/>
      <c r="B2073" s="631"/>
      <c r="C2073" s="631"/>
      <c r="D2073" s="832"/>
      <c r="E2073" s="631"/>
      <c r="F2073" s="631"/>
      <c r="G2073" s="631"/>
      <c r="H2073" s="833"/>
      <c r="I2073" s="834"/>
      <c r="J2073" s="834"/>
      <c r="K2073" s="835"/>
      <c r="L2073" s="835"/>
      <c r="M2073" s="835"/>
      <c r="N2073" s="835"/>
      <c r="O2073" s="835"/>
      <c r="P2073" s="835"/>
      <c r="Q2073" s="540"/>
      <c r="R2073" s="540"/>
      <c r="S2073" s="540"/>
      <c r="T2073" s="540"/>
      <c r="U2073" s="540"/>
      <c r="V2073" s="540"/>
      <c r="W2073" s="540"/>
      <c r="X2073" s="540"/>
      <c r="Y2073" s="540"/>
      <c r="Z2073" s="540"/>
    </row>
    <row r="2074" spans="1:26" ht="19">
      <c r="A2074" s="631"/>
      <c r="B2074" s="631"/>
      <c r="C2074" s="631"/>
      <c r="D2074" s="832"/>
      <c r="E2074" s="631"/>
      <c r="F2074" s="631"/>
      <c r="G2074" s="631"/>
      <c r="H2074" s="833"/>
      <c r="I2074" s="834"/>
      <c r="J2074" s="834"/>
      <c r="K2074" s="835"/>
      <c r="L2074" s="835"/>
      <c r="M2074" s="835"/>
      <c r="N2074" s="835"/>
      <c r="O2074" s="835"/>
      <c r="P2074" s="835"/>
      <c r="Q2074" s="540"/>
      <c r="R2074" s="540"/>
      <c r="S2074" s="540"/>
      <c r="T2074" s="540"/>
      <c r="U2074" s="540"/>
      <c r="V2074" s="540"/>
      <c r="W2074" s="540"/>
      <c r="X2074" s="540"/>
      <c r="Y2074" s="540"/>
      <c r="Z2074" s="540"/>
    </row>
    <row r="2075" spans="1:26" ht="19">
      <c r="A2075" s="631"/>
      <c r="B2075" s="631"/>
      <c r="C2075" s="631"/>
      <c r="D2075" s="832"/>
      <c r="E2075" s="631"/>
      <c r="F2075" s="631"/>
      <c r="G2075" s="631"/>
      <c r="H2075" s="833"/>
      <c r="I2075" s="834"/>
      <c r="J2075" s="834"/>
      <c r="K2075" s="835"/>
      <c r="L2075" s="835"/>
      <c r="M2075" s="835"/>
      <c r="N2075" s="835"/>
      <c r="O2075" s="835"/>
      <c r="P2075" s="835"/>
      <c r="Q2075" s="540"/>
      <c r="R2075" s="540"/>
      <c r="S2075" s="540"/>
      <c r="T2075" s="540"/>
      <c r="U2075" s="540"/>
      <c r="V2075" s="540"/>
      <c r="W2075" s="540"/>
      <c r="X2075" s="540"/>
      <c r="Y2075" s="540"/>
      <c r="Z2075" s="540"/>
    </row>
    <row r="2076" spans="1:26" ht="19">
      <c r="A2076" s="631"/>
      <c r="B2076" s="631"/>
      <c r="C2076" s="631"/>
      <c r="D2076" s="832"/>
      <c r="E2076" s="631"/>
      <c r="F2076" s="631"/>
      <c r="G2076" s="631"/>
      <c r="H2076" s="833"/>
      <c r="I2076" s="834"/>
      <c r="J2076" s="834"/>
      <c r="K2076" s="835"/>
      <c r="L2076" s="835"/>
      <c r="M2076" s="835"/>
      <c r="N2076" s="835"/>
      <c r="O2076" s="835"/>
      <c r="P2076" s="835"/>
      <c r="Q2076" s="540"/>
      <c r="R2076" s="540"/>
      <c r="S2076" s="540"/>
      <c r="T2076" s="540"/>
      <c r="U2076" s="540"/>
      <c r="V2076" s="540"/>
      <c r="W2076" s="540"/>
      <c r="X2076" s="540"/>
      <c r="Y2076" s="540"/>
      <c r="Z2076" s="540"/>
    </row>
    <row r="2077" spans="1:26" ht="19">
      <c r="A2077" s="631"/>
      <c r="B2077" s="631"/>
      <c r="C2077" s="631"/>
      <c r="D2077" s="832"/>
      <c r="E2077" s="631"/>
      <c r="F2077" s="631"/>
      <c r="G2077" s="631"/>
      <c r="H2077" s="833"/>
      <c r="I2077" s="834"/>
      <c r="J2077" s="834"/>
      <c r="K2077" s="835"/>
      <c r="L2077" s="835"/>
      <c r="M2077" s="835"/>
      <c r="N2077" s="835"/>
      <c r="O2077" s="835"/>
      <c r="P2077" s="835"/>
      <c r="Q2077" s="540"/>
      <c r="R2077" s="540"/>
      <c r="S2077" s="540"/>
      <c r="T2077" s="540"/>
      <c r="U2077" s="540"/>
      <c r="V2077" s="540"/>
      <c r="W2077" s="540"/>
      <c r="X2077" s="540"/>
      <c r="Y2077" s="540"/>
      <c r="Z2077" s="540"/>
    </row>
    <row r="2078" spans="1:26" ht="19">
      <c r="A2078" s="631"/>
      <c r="B2078" s="631"/>
      <c r="C2078" s="631"/>
      <c r="D2078" s="832"/>
      <c r="E2078" s="631"/>
      <c r="F2078" s="631"/>
      <c r="G2078" s="631"/>
      <c r="H2078" s="833"/>
      <c r="I2078" s="834"/>
      <c r="J2078" s="834"/>
      <c r="K2078" s="835"/>
      <c r="L2078" s="835"/>
      <c r="M2078" s="835"/>
      <c r="N2078" s="835"/>
      <c r="O2078" s="835"/>
      <c r="P2078" s="835"/>
      <c r="Q2078" s="540"/>
      <c r="R2078" s="540"/>
      <c r="S2078" s="540"/>
      <c r="T2078" s="540"/>
      <c r="U2078" s="540"/>
      <c r="V2078" s="540"/>
      <c r="W2078" s="540"/>
      <c r="X2078" s="540"/>
      <c r="Y2078" s="540"/>
      <c r="Z2078" s="540"/>
    </row>
    <row r="2079" spans="1:26" ht="19">
      <c r="A2079" s="631"/>
      <c r="B2079" s="631"/>
      <c r="C2079" s="631"/>
      <c r="D2079" s="832"/>
      <c r="E2079" s="631"/>
      <c r="F2079" s="631"/>
      <c r="G2079" s="631"/>
      <c r="H2079" s="833"/>
      <c r="I2079" s="834"/>
      <c r="J2079" s="834"/>
      <c r="K2079" s="835"/>
      <c r="L2079" s="835"/>
      <c r="M2079" s="835"/>
      <c r="N2079" s="835"/>
      <c r="O2079" s="835"/>
      <c r="P2079" s="835"/>
      <c r="Q2079" s="540"/>
      <c r="R2079" s="540"/>
      <c r="S2079" s="540"/>
      <c r="T2079" s="540"/>
      <c r="U2079" s="540"/>
      <c r="V2079" s="540"/>
      <c r="W2079" s="540"/>
      <c r="X2079" s="540"/>
      <c r="Y2079" s="540"/>
      <c r="Z2079" s="540"/>
    </row>
    <row r="2080" spans="1:26" ht="19">
      <c r="A2080" s="631"/>
      <c r="B2080" s="631"/>
      <c r="C2080" s="631"/>
      <c r="D2080" s="832"/>
      <c r="E2080" s="631"/>
      <c r="F2080" s="631"/>
      <c r="G2080" s="631"/>
      <c r="H2080" s="833"/>
      <c r="I2080" s="834"/>
      <c r="J2080" s="834"/>
      <c r="K2080" s="835"/>
      <c r="L2080" s="835"/>
      <c r="M2080" s="835"/>
      <c r="N2080" s="835"/>
      <c r="O2080" s="835"/>
      <c r="P2080" s="835"/>
      <c r="Q2080" s="540"/>
      <c r="R2080" s="540"/>
      <c r="S2080" s="540"/>
      <c r="T2080" s="540"/>
      <c r="U2080" s="540"/>
      <c r="V2080" s="540"/>
      <c r="W2080" s="540"/>
      <c r="X2080" s="540"/>
      <c r="Y2080" s="540"/>
      <c r="Z2080" s="540"/>
    </row>
    <row r="2081" spans="1:26" ht="19">
      <c r="A2081" s="631"/>
      <c r="B2081" s="631"/>
      <c r="C2081" s="631"/>
      <c r="D2081" s="832"/>
      <c r="E2081" s="631"/>
      <c r="F2081" s="631"/>
      <c r="G2081" s="631"/>
      <c r="H2081" s="833"/>
      <c r="I2081" s="834"/>
      <c r="J2081" s="834"/>
      <c r="K2081" s="835"/>
      <c r="L2081" s="835"/>
      <c r="M2081" s="835"/>
      <c r="N2081" s="835"/>
      <c r="O2081" s="835"/>
      <c r="P2081" s="835"/>
      <c r="Q2081" s="540"/>
      <c r="R2081" s="540"/>
      <c r="S2081" s="540"/>
      <c r="T2081" s="540"/>
      <c r="U2081" s="540"/>
      <c r="V2081" s="540"/>
      <c r="W2081" s="540"/>
      <c r="X2081" s="540"/>
      <c r="Y2081" s="540"/>
      <c r="Z2081" s="540"/>
    </row>
    <row r="2082" spans="1:26" ht="19">
      <c r="A2082" s="631"/>
      <c r="B2082" s="631"/>
      <c r="C2082" s="631"/>
      <c r="D2082" s="832"/>
      <c r="E2082" s="631"/>
      <c r="F2082" s="631"/>
      <c r="G2082" s="631"/>
      <c r="H2082" s="833"/>
      <c r="I2082" s="834"/>
      <c r="J2082" s="834"/>
      <c r="K2082" s="835"/>
      <c r="L2082" s="835"/>
      <c r="M2082" s="835"/>
      <c r="N2082" s="835"/>
      <c r="O2082" s="835"/>
      <c r="P2082" s="835"/>
      <c r="Q2082" s="540"/>
      <c r="R2082" s="540"/>
      <c r="S2082" s="540"/>
      <c r="T2082" s="540"/>
      <c r="U2082" s="540"/>
      <c r="V2082" s="540"/>
      <c r="W2082" s="540"/>
      <c r="X2082" s="540"/>
      <c r="Y2082" s="540"/>
      <c r="Z2082" s="540"/>
    </row>
    <row r="2083" spans="1:26" ht="19">
      <c r="A2083" s="631"/>
      <c r="B2083" s="631"/>
      <c r="C2083" s="631"/>
      <c r="D2083" s="832"/>
      <c r="E2083" s="631"/>
      <c r="F2083" s="631"/>
      <c r="G2083" s="631"/>
      <c r="H2083" s="833"/>
      <c r="I2083" s="834"/>
      <c r="J2083" s="834"/>
      <c r="K2083" s="835"/>
      <c r="L2083" s="835"/>
      <c r="M2083" s="835"/>
      <c r="N2083" s="835"/>
      <c r="O2083" s="835"/>
      <c r="P2083" s="835"/>
      <c r="Q2083" s="540"/>
      <c r="R2083" s="540"/>
      <c r="S2083" s="540"/>
      <c r="T2083" s="540"/>
      <c r="U2083" s="540"/>
      <c r="V2083" s="540"/>
      <c r="W2083" s="540"/>
      <c r="X2083" s="540"/>
      <c r="Y2083" s="540"/>
      <c r="Z2083" s="540"/>
    </row>
    <row r="2084" spans="1:26" ht="19">
      <c r="A2084" s="631"/>
      <c r="B2084" s="631"/>
      <c r="C2084" s="631"/>
      <c r="D2084" s="832"/>
      <c r="E2084" s="631"/>
      <c r="F2084" s="631"/>
      <c r="G2084" s="631"/>
      <c r="H2084" s="833"/>
      <c r="I2084" s="834"/>
      <c r="J2084" s="834"/>
      <c r="K2084" s="835"/>
      <c r="L2084" s="835"/>
      <c r="M2084" s="835"/>
      <c r="N2084" s="835"/>
      <c r="O2084" s="835"/>
      <c r="P2084" s="835"/>
      <c r="Q2084" s="540"/>
      <c r="R2084" s="540"/>
      <c r="S2084" s="540"/>
      <c r="T2084" s="540"/>
      <c r="U2084" s="540"/>
      <c r="V2084" s="540"/>
      <c r="W2084" s="540"/>
      <c r="X2084" s="540"/>
      <c r="Y2084" s="540"/>
      <c r="Z2084" s="540"/>
    </row>
    <row r="2085" spans="1:26" ht="19">
      <c r="A2085" s="631"/>
      <c r="B2085" s="631"/>
      <c r="C2085" s="631"/>
      <c r="D2085" s="832"/>
      <c r="E2085" s="631"/>
      <c r="F2085" s="631"/>
      <c r="G2085" s="631"/>
      <c r="H2085" s="833"/>
      <c r="I2085" s="834"/>
      <c r="J2085" s="834"/>
      <c r="K2085" s="835"/>
      <c r="L2085" s="835"/>
      <c r="M2085" s="835"/>
      <c r="N2085" s="835"/>
      <c r="O2085" s="835"/>
      <c r="P2085" s="835"/>
      <c r="Q2085" s="540"/>
      <c r="R2085" s="540"/>
      <c r="S2085" s="540"/>
      <c r="T2085" s="540"/>
      <c r="U2085" s="540"/>
      <c r="V2085" s="540"/>
      <c r="W2085" s="540"/>
      <c r="X2085" s="540"/>
      <c r="Y2085" s="540"/>
      <c r="Z2085" s="540"/>
    </row>
    <row r="2086" spans="1:26" ht="19">
      <c r="A2086" s="631"/>
      <c r="B2086" s="631"/>
      <c r="C2086" s="631"/>
      <c r="D2086" s="832"/>
      <c r="E2086" s="631"/>
      <c r="F2086" s="631"/>
      <c r="G2086" s="631"/>
      <c r="H2086" s="833"/>
      <c r="I2086" s="834"/>
      <c r="J2086" s="834"/>
      <c r="K2086" s="835"/>
      <c r="L2086" s="835"/>
      <c r="M2086" s="835"/>
      <c r="N2086" s="835"/>
      <c r="O2086" s="835"/>
      <c r="P2086" s="835"/>
      <c r="Q2086" s="540"/>
      <c r="R2086" s="540"/>
      <c r="S2086" s="540"/>
      <c r="T2086" s="540"/>
      <c r="U2086" s="540"/>
      <c r="V2086" s="540"/>
      <c r="W2086" s="540"/>
      <c r="X2086" s="540"/>
      <c r="Y2086" s="540"/>
      <c r="Z2086" s="540"/>
    </row>
    <row r="2087" spans="1:26" ht="19">
      <c r="A2087" s="631"/>
      <c r="B2087" s="631"/>
      <c r="C2087" s="631"/>
      <c r="D2087" s="832"/>
      <c r="E2087" s="631"/>
      <c r="F2087" s="631"/>
      <c r="G2087" s="631"/>
      <c r="H2087" s="833"/>
      <c r="I2087" s="834"/>
      <c r="J2087" s="834"/>
      <c r="K2087" s="835"/>
      <c r="L2087" s="835"/>
      <c r="M2087" s="835"/>
      <c r="N2087" s="835"/>
      <c r="O2087" s="835"/>
      <c r="P2087" s="835"/>
      <c r="Q2087" s="540"/>
      <c r="R2087" s="540"/>
      <c r="S2087" s="540"/>
      <c r="T2087" s="540"/>
      <c r="U2087" s="540"/>
      <c r="V2087" s="540"/>
      <c r="W2087" s="540"/>
      <c r="X2087" s="540"/>
      <c r="Y2087" s="540"/>
      <c r="Z2087" s="540"/>
    </row>
    <row r="2088" spans="1:26" ht="19">
      <c r="A2088" s="631"/>
      <c r="B2088" s="631"/>
      <c r="C2088" s="631"/>
      <c r="D2088" s="832"/>
      <c r="E2088" s="631"/>
      <c r="F2088" s="631"/>
      <c r="G2088" s="631"/>
      <c r="H2088" s="833"/>
      <c r="I2088" s="834"/>
      <c r="J2088" s="834"/>
      <c r="K2088" s="835"/>
      <c r="L2088" s="835"/>
      <c r="M2088" s="835"/>
      <c r="N2088" s="835"/>
      <c r="O2088" s="835"/>
      <c r="P2088" s="835"/>
      <c r="Q2088" s="540"/>
      <c r="R2088" s="540"/>
      <c r="S2088" s="540"/>
      <c r="T2088" s="540"/>
      <c r="U2088" s="540"/>
      <c r="V2088" s="540"/>
      <c r="W2088" s="540"/>
      <c r="X2088" s="540"/>
      <c r="Y2088" s="540"/>
      <c r="Z2088" s="540"/>
    </row>
    <row r="2089" spans="1:26" ht="19">
      <c r="A2089" s="631"/>
      <c r="B2089" s="631"/>
      <c r="C2089" s="631"/>
      <c r="D2089" s="832"/>
      <c r="E2089" s="631"/>
      <c r="F2089" s="631"/>
      <c r="G2089" s="631"/>
      <c r="H2089" s="833"/>
      <c r="I2089" s="834"/>
      <c r="J2089" s="834"/>
      <c r="K2089" s="835"/>
      <c r="L2089" s="835"/>
      <c r="M2089" s="835"/>
      <c r="N2089" s="835"/>
      <c r="O2089" s="835"/>
      <c r="P2089" s="835"/>
      <c r="Q2089" s="540"/>
      <c r="R2089" s="540"/>
      <c r="S2089" s="540"/>
      <c r="T2089" s="540"/>
      <c r="U2089" s="540"/>
      <c r="V2089" s="540"/>
      <c r="W2089" s="540"/>
      <c r="X2089" s="540"/>
      <c r="Y2089" s="540"/>
      <c r="Z2089" s="540"/>
    </row>
    <row r="2090" spans="1:26" ht="19">
      <c r="A2090" s="631"/>
      <c r="B2090" s="631"/>
      <c r="C2090" s="631"/>
      <c r="D2090" s="832"/>
      <c r="E2090" s="631"/>
      <c r="F2090" s="631"/>
      <c r="G2090" s="631"/>
      <c r="H2090" s="833"/>
      <c r="I2090" s="834"/>
      <c r="J2090" s="834"/>
      <c r="K2090" s="835"/>
      <c r="L2090" s="835"/>
      <c r="M2090" s="835"/>
      <c r="N2090" s="835"/>
      <c r="O2090" s="835"/>
      <c r="P2090" s="835"/>
      <c r="Q2090" s="540"/>
      <c r="R2090" s="540"/>
      <c r="S2090" s="540"/>
      <c r="T2090" s="540"/>
      <c r="U2090" s="540"/>
      <c r="V2090" s="540"/>
      <c r="W2090" s="540"/>
      <c r="X2090" s="540"/>
      <c r="Y2090" s="540"/>
      <c r="Z2090" s="540"/>
    </row>
    <row r="2091" spans="1:26" ht="19">
      <c r="A2091" s="631"/>
      <c r="B2091" s="631"/>
      <c r="C2091" s="631"/>
      <c r="D2091" s="832"/>
      <c r="E2091" s="631"/>
      <c r="F2091" s="631"/>
      <c r="G2091" s="631"/>
      <c r="H2091" s="833"/>
      <c r="I2091" s="834"/>
      <c r="J2091" s="834"/>
      <c r="K2091" s="835"/>
      <c r="L2091" s="835"/>
      <c r="M2091" s="835"/>
      <c r="N2091" s="835"/>
      <c r="O2091" s="835"/>
      <c r="P2091" s="835"/>
      <c r="Q2091" s="540"/>
      <c r="R2091" s="540"/>
      <c r="S2091" s="540"/>
      <c r="T2091" s="540"/>
      <c r="U2091" s="540"/>
      <c r="V2091" s="540"/>
      <c r="W2091" s="540"/>
      <c r="X2091" s="540"/>
      <c r="Y2091" s="540"/>
      <c r="Z2091" s="540"/>
    </row>
    <row r="2092" spans="1:26" ht="19">
      <c r="A2092" s="631"/>
      <c r="B2092" s="631"/>
      <c r="C2092" s="631"/>
      <c r="D2092" s="832"/>
      <c r="E2092" s="631"/>
      <c r="F2092" s="631"/>
      <c r="G2092" s="631"/>
      <c r="H2092" s="833"/>
      <c r="I2092" s="834"/>
      <c r="J2092" s="834"/>
      <c r="K2092" s="835"/>
      <c r="L2092" s="835"/>
      <c r="M2092" s="835"/>
      <c r="N2092" s="835"/>
      <c r="O2092" s="835"/>
      <c r="P2092" s="835"/>
      <c r="Q2092" s="540"/>
      <c r="R2092" s="540"/>
      <c r="S2092" s="540"/>
      <c r="T2092" s="540"/>
      <c r="U2092" s="540"/>
      <c r="V2092" s="540"/>
      <c r="W2092" s="540"/>
      <c r="X2092" s="540"/>
      <c r="Y2092" s="540"/>
      <c r="Z2092" s="540"/>
    </row>
    <row r="2093" spans="1:26" ht="19">
      <c r="A2093" s="631"/>
      <c r="B2093" s="631"/>
      <c r="C2093" s="631"/>
      <c r="D2093" s="832"/>
      <c r="E2093" s="631"/>
      <c r="F2093" s="631"/>
      <c r="G2093" s="631"/>
      <c r="H2093" s="833"/>
      <c r="I2093" s="834"/>
      <c r="J2093" s="834"/>
      <c r="K2093" s="835"/>
      <c r="L2093" s="835"/>
      <c r="M2093" s="835"/>
      <c r="N2093" s="835"/>
      <c r="O2093" s="835"/>
      <c r="P2093" s="835"/>
      <c r="Q2093" s="540"/>
      <c r="R2093" s="540"/>
      <c r="S2093" s="540"/>
      <c r="T2093" s="540"/>
      <c r="U2093" s="540"/>
      <c r="V2093" s="540"/>
      <c r="W2093" s="540"/>
      <c r="X2093" s="540"/>
      <c r="Y2093" s="540"/>
      <c r="Z2093" s="540"/>
    </row>
    <row r="2094" spans="1:26" ht="19">
      <c r="A2094" s="631"/>
      <c r="B2094" s="631"/>
      <c r="C2094" s="631"/>
      <c r="D2094" s="832"/>
      <c r="E2094" s="631"/>
      <c r="F2094" s="631"/>
      <c r="G2094" s="631"/>
      <c r="H2094" s="833"/>
      <c r="I2094" s="834"/>
      <c r="J2094" s="834"/>
      <c r="K2094" s="835"/>
      <c r="L2094" s="835"/>
      <c r="M2094" s="835"/>
      <c r="N2094" s="835"/>
      <c r="O2094" s="835"/>
      <c r="P2094" s="835"/>
      <c r="Q2094" s="540"/>
      <c r="R2094" s="540"/>
      <c r="S2094" s="540"/>
      <c r="T2094" s="540"/>
      <c r="U2094" s="540"/>
      <c r="V2094" s="540"/>
      <c r="W2094" s="540"/>
      <c r="X2094" s="540"/>
      <c r="Y2094" s="540"/>
      <c r="Z2094" s="540"/>
    </row>
    <row r="2095" spans="1:26" ht="19">
      <c r="A2095" s="631"/>
      <c r="B2095" s="631"/>
      <c r="C2095" s="631"/>
      <c r="D2095" s="832"/>
      <c r="E2095" s="631"/>
      <c r="F2095" s="631"/>
      <c r="G2095" s="631"/>
      <c r="H2095" s="833"/>
      <c r="I2095" s="834"/>
      <c r="J2095" s="834"/>
      <c r="K2095" s="835"/>
      <c r="L2095" s="835"/>
      <c r="M2095" s="835"/>
      <c r="N2095" s="835"/>
      <c r="O2095" s="835"/>
      <c r="P2095" s="835"/>
      <c r="Q2095" s="540"/>
      <c r="R2095" s="540"/>
      <c r="S2095" s="540"/>
      <c r="T2095" s="540"/>
      <c r="U2095" s="540"/>
      <c r="V2095" s="540"/>
      <c r="W2095" s="540"/>
      <c r="X2095" s="540"/>
      <c r="Y2095" s="540"/>
      <c r="Z2095" s="540"/>
    </row>
    <row r="2096" spans="1:26" ht="19">
      <c r="A2096" s="631"/>
      <c r="B2096" s="631"/>
      <c r="C2096" s="631"/>
      <c r="D2096" s="832"/>
      <c r="E2096" s="631"/>
      <c r="F2096" s="631"/>
      <c r="G2096" s="631"/>
      <c r="H2096" s="833"/>
      <c r="I2096" s="834"/>
      <c r="J2096" s="834"/>
      <c r="K2096" s="835"/>
      <c r="L2096" s="835"/>
      <c r="M2096" s="835"/>
      <c r="N2096" s="835"/>
      <c r="O2096" s="835"/>
      <c r="P2096" s="835"/>
      <c r="Q2096" s="540"/>
      <c r="R2096" s="540"/>
      <c r="S2096" s="540"/>
      <c r="T2096" s="540"/>
      <c r="U2096" s="540"/>
      <c r="V2096" s="540"/>
      <c r="W2096" s="540"/>
      <c r="X2096" s="540"/>
      <c r="Y2096" s="540"/>
      <c r="Z2096" s="540"/>
    </row>
    <row r="2097" spans="1:26" ht="19">
      <c r="A2097" s="631"/>
      <c r="B2097" s="631"/>
      <c r="C2097" s="631"/>
      <c r="D2097" s="832"/>
      <c r="E2097" s="631"/>
      <c r="F2097" s="631"/>
      <c r="G2097" s="631"/>
      <c r="H2097" s="833"/>
      <c r="I2097" s="834"/>
      <c r="J2097" s="834"/>
      <c r="K2097" s="835"/>
      <c r="L2097" s="835"/>
      <c r="M2097" s="835"/>
      <c r="N2097" s="835"/>
      <c r="O2097" s="835"/>
      <c r="P2097" s="835"/>
      <c r="Q2097" s="540"/>
      <c r="R2097" s="540"/>
      <c r="S2097" s="540"/>
      <c r="T2097" s="540"/>
      <c r="U2097" s="540"/>
      <c r="V2097" s="540"/>
      <c r="W2097" s="540"/>
      <c r="X2097" s="540"/>
      <c r="Y2097" s="540"/>
      <c r="Z2097" s="540"/>
    </row>
    <row r="2098" spans="1:26" ht="19">
      <c r="A2098" s="631"/>
      <c r="B2098" s="631"/>
      <c r="C2098" s="631"/>
      <c r="D2098" s="832"/>
      <c r="E2098" s="631"/>
      <c r="F2098" s="631"/>
      <c r="G2098" s="631"/>
      <c r="H2098" s="833"/>
      <c r="I2098" s="834"/>
      <c r="J2098" s="834"/>
      <c r="K2098" s="835"/>
      <c r="L2098" s="835"/>
      <c r="M2098" s="835"/>
      <c r="N2098" s="835"/>
      <c r="O2098" s="835"/>
      <c r="P2098" s="835"/>
      <c r="Q2098" s="540"/>
      <c r="R2098" s="540"/>
      <c r="S2098" s="540"/>
      <c r="T2098" s="540"/>
      <c r="U2098" s="540"/>
      <c r="V2098" s="540"/>
      <c r="W2098" s="540"/>
      <c r="X2098" s="540"/>
      <c r="Y2098" s="540"/>
      <c r="Z2098" s="540"/>
    </row>
    <row r="2099" spans="1:26" ht="19">
      <c r="A2099" s="631"/>
      <c r="B2099" s="631"/>
      <c r="C2099" s="631"/>
      <c r="D2099" s="832"/>
      <c r="E2099" s="631"/>
      <c r="F2099" s="631"/>
      <c r="G2099" s="631"/>
      <c r="H2099" s="833"/>
      <c r="I2099" s="834"/>
      <c r="J2099" s="834"/>
      <c r="K2099" s="835"/>
      <c r="L2099" s="835"/>
      <c r="M2099" s="835"/>
      <c r="N2099" s="835"/>
      <c r="O2099" s="835"/>
      <c r="P2099" s="835"/>
      <c r="Q2099" s="540"/>
      <c r="R2099" s="540"/>
      <c r="S2099" s="540"/>
      <c r="T2099" s="540"/>
      <c r="U2099" s="540"/>
      <c r="V2099" s="540"/>
      <c r="W2099" s="540"/>
      <c r="X2099" s="540"/>
      <c r="Y2099" s="540"/>
      <c r="Z2099" s="540"/>
    </row>
    <row r="2100" spans="1:26" ht="19">
      <c r="A2100" s="631"/>
      <c r="B2100" s="631"/>
      <c r="C2100" s="631"/>
      <c r="D2100" s="832"/>
      <c r="E2100" s="631"/>
      <c r="F2100" s="631"/>
      <c r="G2100" s="631"/>
      <c r="H2100" s="833"/>
      <c r="I2100" s="834"/>
      <c r="J2100" s="834"/>
      <c r="K2100" s="835"/>
      <c r="L2100" s="835"/>
      <c r="M2100" s="835"/>
      <c r="N2100" s="835"/>
      <c r="O2100" s="835"/>
      <c r="P2100" s="835"/>
      <c r="Q2100" s="540"/>
      <c r="R2100" s="540"/>
      <c r="S2100" s="540"/>
      <c r="T2100" s="540"/>
      <c r="U2100" s="540"/>
      <c r="V2100" s="540"/>
      <c r="W2100" s="540"/>
      <c r="X2100" s="540"/>
      <c r="Y2100" s="540"/>
      <c r="Z2100" s="540"/>
    </row>
    <row r="2101" spans="1:26" ht="19">
      <c r="A2101" s="631"/>
      <c r="B2101" s="631"/>
      <c r="C2101" s="631"/>
      <c r="D2101" s="832"/>
      <c r="E2101" s="631"/>
      <c r="F2101" s="631"/>
      <c r="G2101" s="631"/>
      <c r="H2101" s="833"/>
      <c r="I2101" s="834"/>
      <c r="J2101" s="834"/>
      <c r="K2101" s="835"/>
      <c r="L2101" s="835"/>
      <c r="M2101" s="835"/>
      <c r="N2101" s="835"/>
      <c r="O2101" s="835"/>
      <c r="P2101" s="835"/>
      <c r="Q2101" s="540"/>
      <c r="R2101" s="540"/>
      <c r="S2101" s="540"/>
      <c r="T2101" s="540"/>
      <c r="U2101" s="540"/>
      <c r="V2101" s="540"/>
      <c r="W2101" s="540"/>
      <c r="X2101" s="540"/>
      <c r="Y2101" s="540"/>
      <c r="Z2101" s="540"/>
    </row>
    <row r="2102" spans="1:26" ht="19">
      <c r="A2102" s="631"/>
      <c r="B2102" s="631"/>
      <c r="C2102" s="631"/>
      <c r="D2102" s="832"/>
      <c r="E2102" s="631"/>
      <c r="F2102" s="631"/>
      <c r="G2102" s="631"/>
      <c r="H2102" s="833"/>
      <c r="I2102" s="834"/>
      <c r="J2102" s="834"/>
      <c r="K2102" s="835"/>
      <c r="L2102" s="835"/>
      <c r="M2102" s="835"/>
      <c r="N2102" s="835"/>
      <c r="O2102" s="835"/>
      <c r="P2102" s="835"/>
      <c r="Q2102" s="540"/>
      <c r="R2102" s="540"/>
      <c r="S2102" s="540"/>
      <c r="T2102" s="540"/>
      <c r="U2102" s="540"/>
      <c r="V2102" s="540"/>
      <c r="W2102" s="540"/>
      <c r="X2102" s="540"/>
      <c r="Y2102" s="540"/>
      <c r="Z2102" s="540"/>
    </row>
    <row r="2103" spans="1:26" ht="19">
      <c r="A2103" s="631"/>
      <c r="B2103" s="631"/>
      <c r="C2103" s="631"/>
      <c r="D2103" s="832"/>
      <c r="E2103" s="631"/>
      <c r="F2103" s="631"/>
      <c r="G2103" s="631"/>
      <c r="H2103" s="833"/>
      <c r="I2103" s="834"/>
      <c r="J2103" s="834"/>
      <c r="K2103" s="835"/>
      <c r="L2103" s="835"/>
      <c r="M2103" s="835"/>
      <c r="N2103" s="835"/>
      <c r="O2103" s="835"/>
      <c r="P2103" s="835"/>
      <c r="Q2103" s="540"/>
      <c r="R2103" s="540"/>
      <c r="S2103" s="540"/>
      <c r="T2103" s="540"/>
      <c r="U2103" s="540"/>
      <c r="V2103" s="540"/>
      <c r="W2103" s="540"/>
      <c r="X2103" s="540"/>
      <c r="Y2103" s="540"/>
      <c r="Z2103" s="540"/>
    </row>
    <row r="2104" spans="1:26" ht="19">
      <c r="A2104" s="631"/>
      <c r="B2104" s="631"/>
      <c r="C2104" s="631"/>
      <c r="D2104" s="832"/>
      <c r="E2104" s="631"/>
      <c r="F2104" s="631"/>
      <c r="G2104" s="631"/>
      <c r="H2104" s="833"/>
      <c r="I2104" s="834"/>
      <c r="J2104" s="834"/>
      <c r="K2104" s="835"/>
      <c r="L2104" s="835"/>
      <c r="M2104" s="835"/>
      <c r="N2104" s="835"/>
      <c r="O2104" s="835"/>
      <c r="P2104" s="835"/>
      <c r="Q2104" s="540"/>
      <c r="R2104" s="540"/>
      <c r="S2104" s="540"/>
      <c r="T2104" s="540"/>
      <c r="U2104" s="540"/>
      <c r="V2104" s="540"/>
      <c r="W2104" s="540"/>
      <c r="X2104" s="540"/>
      <c r="Y2104" s="540"/>
      <c r="Z2104" s="540"/>
    </row>
    <row r="2105" spans="1:26" ht="19">
      <c r="A2105" s="631"/>
      <c r="B2105" s="631"/>
      <c r="C2105" s="631"/>
      <c r="D2105" s="832"/>
      <c r="E2105" s="631"/>
      <c r="F2105" s="631"/>
      <c r="G2105" s="631"/>
      <c r="H2105" s="833"/>
      <c r="I2105" s="834"/>
      <c r="J2105" s="834"/>
      <c r="K2105" s="835"/>
      <c r="L2105" s="835"/>
      <c r="M2105" s="835"/>
      <c r="N2105" s="835"/>
      <c r="O2105" s="835"/>
      <c r="P2105" s="835"/>
      <c r="Q2105" s="540"/>
      <c r="R2105" s="540"/>
      <c r="S2105" s="540"/>
      <c r="T2105" s="540"/>
      <c r="U2105" s="540"/>
      <c r="V2105" s="540"/>
      <c r="W2105" s="540"/>
      <c r="X2105" s="540"/>
      <c r="Y2105" s="540"/>
      <c r="Z2105" s="540"/>
    </row>
    <row r="2106" spans="1:26" ht="19">
      <c r="A2106" s="631"/>
      <c r="B2106" s="631"/>
      <c r="C2106" s="631"/>
      <c r="D2106" s="832"/>
      <c r="E2106" s="631"/>
      <c r="F2106" s="631"/>
      <c r="G2106" s="631"/>
      <c r="H2106" s="833"/>
      <c r="I2106" s="834"/>
      <c r="J2106" s="834"/>
      <c r="K2106" s="835"/>
      <c r="L2106" s="835"/>
      <c r="M2106" s="835"/>
      <c r="N2106" s="835"/>
      <c r="O2106" s="835"/>
      <c r="P2106" s="835"/>
      <c r="Q2106" s="540"/>
      <c r="R2106" s="540"/>
      <c r="S2106" s="540"/>
      <c r="T2106" s="540"/>
      <c r="U2106" s="540"/>
      <c r="V2106" s="540"/>
      <c r="W2106" s="540"/>
      <c r="X2106" s="540"/>
      <c r="Y2106" s="540"/>
      <c r="Z2106" s="540"/>
    </row>
    <row r="2107" spans="1:26" ht="19">
      <c r="A2107" s="631"/>
      <c r="B2107" s="631"/>
      <c r="C2107" s="631"/>
      <c r="D2107" s="832"/>
      <c r="E2107" s="631"/>
      <c r="F2107" s="631"/>
      <c r="G2107" s="631"/>
      <c r="H2107" s="833"/>
      <c r="I2107" s="834"/>
      <c r="J2107" s="834"/>
      <c r="K2107" s="835"/>
      <c r="L2107" s="835"/>
      <c r="M2107" s="835"/>
      <c r="N2107" s="835"/>
      <c r="O2107" s="835"/>
      <c r="P2107" s="835"/>
      <c r="Q2107" s="540"/>
      <c r="R2107" s="540"/>
      <c r="S2107" s="540"/>
      <c r="T2107" s="540"/>
      <c r="U2107" s="540"/>
      <c r="V2107" s="540"/>
      <c r="W2107" s="540"/>
      <c r="X2107" s="540"/>
      <c r="Y2107" s="540"/>
      <c r="Z2107" s="540"/>
    </row>
    <row r="2108" spans="1:26" ht="19">
      <c r="A2108" s="631"/>
      <c r="B2108" s="631"/>
      <c r="C2108" s="631"/>
      <c r="D2108" s="832"/>
      <c r="E2108" s="631"/>
      <c r="F2108" s="631"/>
      <c r="G2108" s="631"/>
      <c r="H2108" s="833"/>
      <c r="I2108" s="834"/>
      <c r="J2108" s="834"/>
      <c r="K2108" s="835"/>
      <c r="L2108" s="835"/>
      <c r="M2108" s="835"/>
      <c r="N2108" s="835"/>
      <c r="O2108" s="835"/>
      <c r="P2108" s="835"/>
      <c r="Q2108" s="540"/>
      <c r="R2108" s="540"/>
      <c r="S2108" s="540"/>
      <c r="T2108" s="540"/>
      <c r="U2108" s="540"/>
      <c r="V2108" s="540"/>
      <c r="W2108" s="540"/>
      <c r="X2108" s="540"/>
      <c r="Y2108" s="540"/>
      <c r="Z2108" s="540"/>
    </row>
    <row r="2109" spans="1:26" ht="19">
      <c r="A2109" s="631"/>
      <c r="B2109" s="631"/>
      <c r="C2109" s="631"/>
      <c r="D2109" s="832"/>
      <c r="E2109" s="631"/>
      <c r="F2109" s="631"/>
      <c r="G2109" s="631"/>
      <c r="H2109" s="833"/>
      <c r="I2109" s="834"/>
      <c r="J2109" s="834"/>
      <c r="K2109" s="835"/>
      <c r="L2109" s="835"/>
      <c r="M2109" s="835"/>
      <c r="N2109" s="835"/>
      <c r="O2109" s="835"/>
      <c r="P2109" s="835"/>
      <c r="Q2109" s="540"/>
      <c r="R2109" s="540"/>
      <c r="S2109" s="540"/>
      <c r="T2109" s="540"/>
      <c r="U2109" s="540"/>
      <c r="V2109" s="540"/>
      <c r="W2109" s="540"/>
      <c r="X2109" s="540"/>
      <c r="Y2109" s="540"/>
      <c r="Z2109" s="540"/>
    </row>
    <row r="2110" spans="1:26" ht="19">
      <c r="A2110" s="631"/>
      <c r="B2110" s="631"/>
      <c r="C2110" s="631"/>
      <c r="D2110" s="832"/>
      <c r="E2110" s="631"/>
      <c r="F2110" s="631"/>
      <c r="G2110" s="631"/>
      <c r="H2110" s="833"/>
      <c r="I2110" s="834"/>
      <c r="J2110" s="834"/>
      <c r="K2110" s="835"/>
      <c r="L2110" s="835"/>
      <c r="M2110" s="835"/>
      <c r="N2110" s="835"/>
      <c r="O2110" s="835"/>
      <c r="P2110" s="835"/>
      <c r="Q2110" s="540"/>
      <c r="R2110" s="540"/>
      <c r="S2110" s="540"/>
      <c r="T2110" s="540"/>
      <c r="U2110" s="540"/>
      <c r="V2110" s="540"/>
      <c r="W2110" s="540"/>
      <c r="X2110" s="540"/>
      <c r="Y2110" s="540"/>
      <c r="Z2110" s="540"/>
    </row>
    <row r="2111" spans="1:26" ht="19">
      <c r="A2111" s="631"/>
      <c r="B2111" s="631"/>
      <c r="C2111" s="631"/>
      <c r="D2111" s="832"/>
      <c r="E2111" s="631"/>
      <c r="F2111" s="631"/>
      <c r="G2111" s="631"/>
      <c r="H2111" s="833"/>
      <c r="I2111" s="834"/>
      <c r="J2111" s="834"/>
      <c r="K2111" s="835"/>
      <c r="L2111" s="835"/>
      <c r="M2111" s="835"/>
      <c r="N2111" s="835"/>
      <c r="O2111" s="835"/>
      <c r="P2111" s="835"/>
      <c r="Q2111" s="540"/>
      <c r="R2111" s="540"/>
      <c r="S2111" s="540"/>
      <c r="T2111" s="540"/>
      <c r="U2111" s="540"/>
      <c r="V2111" s="540"/>
      <c r="W2111" s="540"/>
      <c r="X2111" s="540"/>
      <c r="Y2111" s="540"/>
      <c r="Z2111" s="540"/>
    </row>
    <row r="2112" spans="1:26" ht="19">
      <c r="A2112" s="631"/>
      <c r="B2112" s="631"/>
      <c r="C2112" s="631"/>
      <c r="D2112" s="832"/>
      <c r="E2112" s="631"/>
      <c r="F2112" s="631"/>
      <c r="G2112" s="631"/>
      <c r="H2112" s="833"/>
      <c r="I2112" s="834"/>
      <c r="J2112" s="834"/>
      <c r="K2112" s="835"/>
      <c r="L2112" s="835"/>
      <c r="M2112" s="835"/>
      <c r="N2112" s="835"/>
      <c r="O2112" s="835"/>
      <c r="P2112" s="835"/>
      <c r="Q2112" s="540"/>
      <c r="R2112" s="540"/>
      <c r="S2112" s="540"/>
      <c r="T2112" s="540"/>
      <c r="U2112" s="540"/>
      <c r="V2112" s="540"/>
      <c r="W2112" s="540"/>
      <c r="X2112" s="540"/>
      <c r="Y2112" s="540"/>
      <c r="Z2112" s="540"/>
    </row>
    <row r="2113" spans="1:26" ht="19">
      <c r="A2113" s="631"/>
      <c r="B2113" s="631"/>
      <c r="C2113" s="631"/>
      <c r="D2113" s="832"/>
      <c r="E2113" s="631"/>
      <c r="F2113" s="631"/>
      <c r="G2113" s="631"/>
      <c r="H2113" s="833"/>
      <c r="I2113" s="834"/>
      <c r="J2113" s="834"/>
      <c r="K2113" s="835"/>
      <c r="L2113" s="835"/>
      <c r="M2113" s="835"/>
      <c r="N2113" s="835"/>
      <c r="O2113" s="835"/>
      <c r="P2113" s="835"/>
      <c r="Q2113" s="540"/>
      <c r="R2113" s="540"/>
      <c r="S2113" s="540"/>
      <c r="T2113" s="540"/>
      <c r="U2113" s="540"/>
      <c r="V2113" s="540"/>
      <c r="W2113" s="540"/>
      <c r="X2113" s="540"/>
      <c r="Y2113" s="540"/>
      <c r="Z2113" s="540"/>
    </row>
    <row r="2114" spans="1:26" ht="19">
      <c r="A2114" s="631"/>
      <c r="B2114" s="631"/>
      <c r="C2114" s="631"/>
      <c r="D2114" s="832"/>
      <c r="E2114" s="631"/>
      <c r="F2114" s="631"/>
      <c r="G2114" s="631"/>
      <c r="H2114" s="833"/>
      <c r="I2114" s="834"/>
      <c r="J2114" s="834"/>
      <c r="K2114" s="835"/>
      <c r="L2114" s="835"/>
      <c r="M2114" s="835"/>
      <c r="N2114" s="835"/>
      <c r="O2114" s="835"/>
      <c r="P2114" s="835"/>
      <c r="Q2114" s="540"/>
      <c r="R2114" s="540"/>
      <c r="S2114" s="540"/>
      <c r="T2114" s="540"/>
      <c r="U2114" s="540"/>
      <c r="V2114" s="540"/>
      <c r="W2114" s="540"/>
      <c r="X2114" s="540"/>
      <c r="Y2114" s="540"/>
      <c r="Z2114" s="540"/>
    </row>
    <row r="2115" spans="1:26" ht="19">
      <c r="A2115" s="631"/>
      <c r="B2115" s="631"/>
      <c r="C2115" s="631"/>
      <c r="D2115" s="832"/>
      <c r="E2115" s="631"/>
      <c r="F2115" s="631"/>
      <c r="G2115" s="631"/>
      <c r="H2115" s="833"/>
      <c r="I2115" s="834"/>
      <c r="J2115" s="834"/>
      <c r="K2115" s="835"/>
      <c r="L2115" s="835"/>
      <c r="M2115" s="835"/>
      <c r="N2115" s="835"/>
      <c r="O2115" s="835"/>
      <c r="P2115" s="835"/>
      <c r="Q2115" s="540"/>
      <c r="R2115" s="540"/>
      <c r="S2115" s="540"/>
      <c r="T2115" s="540"/>
      <c r="U2115" s="540"/>
      <c r="V2115" s="540"/>
      <c r="W2115" s="540"/>
      <c r="X2115" s="540"/>
      <c r="Y2115" s="540"/>
      <c r="Z2115" s="540"/>
    </row>
    <row r="2116" spans="1:26" ht="19">
      <c r="A2116" s="631"/>
      <c r="B2116" s="631"/>
      <c r="C2116" s="631"/>
      <c r="D2116" s="832"/>
      <c r="E2116" s="631"/>
      <c r="F2116" s="631"/>
      <c r="G2116" s="631"/>
      <c r="H2116" s="833"/>
      <c r="I2116" s="834"/>
      <c r="J2116" s="834"/>
      <c r="K2116" s="835"/>
      <c r="L2116" s="835"/>
      <c r="M2116" s="835"/>
      <c r="N2116" s="835"/>
      <c r="O2116" s="835"/>
      <c r="P2116" s="835"/>
      <c r="Q2116" s="540"/>
      <c r="R2116" s="540"/>
      <c r="S2116" s="540"/>
      <c r="T2116" s="540"/>
      <c r="U2116" s="540"/>
      <c r="V2116" s="540"/>
      <c r="W2116" s="540"/>
      <c r="X2116" s="540"/>
      <c r="Y2116" s="540"/>
      <c r="Z2116" s="540"/>
    </row>
    <row r="2117" spans="1:26" ht="19">
      <c r="A2117" s="631"/>
      <c r="B2117" s="631"/>
      <c r="C2117" s="631"/>
      <c r="D2117" s="832"/>
      <c r="E2117" s="631"/>
      <c r="F2117" s="631"/>
      <c r="G2117" s="631"/>
      <c r="H2117" s="833"/>
      <c r="I2117" s="834"/>
      <c r="J2117" s="834"/>
      <c r="K2117" s="835"/>
      <c r="L2117" s="835"/>
      <c r="M2117" s="835"/>
      <c r="N2117" s="835"/>
      <c r="O2117" s="835"/>
      <c r="P2117" s="835"/>
      <c r="Q2117" s="540"/>
      <c r="R2117" s="540"/>
      <c r="S2117" s="540"/>
      <c r="T2117" s="540"/>
      <c r="U2117" s="540"/>
      <c r="V2117" s="540"/>
      <c r="W2117" s="540"/>
      <c r="X2117" s="540"/>
      <c r="Y2117" s="540"/>
      <c r="Z2117" s="540"/>
    </row>
    <row r="2118" spans="1:26" ht="19">
      <c r="A2118" s="631"/>
      <c r="B2118" s="631"/>
      <c r="C2118" s="631"/>
      <c r="D2118" s="832"/>
      <c r="E2118" s="631"/>
      <c r="F2118" s="631"/>
      <c r="G2118" s="631"/>
      <c r="H2118" s="833"/>
      <c r="I2118" s="834"/>
      <c r="J2118" s="834"/>
      <c r="K2118" s="835"/>
      <c r="L2118" s="835"/>
      <c r="M2118" s="835"/>
      <c r="N2118" s="835"/>
      <c r="O2118" s="835"/>
      <c r="P2118" s="835"/>
      <c r="Q2118" s="540"/>
      <c r="R2118" s="540"/>
      <c r="S2118" s="540"/>
      <c r="T2118" s="540"/>
      <c r="U2118" s="540"/>
      <c r="V2118" s="540"/>
      <c r="W2118" s="540"/>
      <c r="X2118" s="540"/>
      <c r="Y2118" s="540"/>
      <c r="Z2118" s="540"/>
    </row>
    <row r="2119" spans="1:26" ht="19">
      <c r="A2119" s="631"/>
      <c r="B2119" s="631"/>
      <c r="C2119" s="631"/>
      <c r="D2119" s="832"/>
      <c r="E2119" s="631"/>
      <c r="F2119" s="631"/>
      <c r="G2119" s="631"/>
      <c r="H2119" s="833"/>
      <c r="I2119" s="834"/>
      <c r="J2119" s="834"/>
      <c r="K2119" s="835"/>
      <c r="L2119" s="835"/>
      <c r="M2119" s="835"/>
      <c r="N2119" s="835"/>
      <c r="O2119" s="835"/>
      <c r="P2119" s="835"/>
      <c r="Q2119" s="540"/>
      <c r="R2119" s="540"/>
      <c r="S2119" s="540"/>
      <c r="T2119" s="540"/>
      <c r="U2119" s="540"/>
      <c r="V2119" s="540"/>
      <c r="W2119" s="540"/>
      <c r="X2119" s="540"/>
      <c r="Y2119" s="540"/>
      <c r="Z2119" s="540"/>
    </row>
    <row r="2120" spans="1:26" ht="19">
      <c r="A2120" s="631"/>
      <c r="B2120" s="631"/>
      <c r="C2120" s="631"/>
      <c r="D2120" s="832"/>
      <c r="E2120" s="631"/>
      <c r="F2120" s="631"/>
      <c r="G2120" s="631"/>
      <c r="H2120" s="833"/>
      <c r="I2120" s="834"/>
      <c r="J2120" s="834"/>
      <c r="K2120" s="835"/>
      <c r="L2120" s="835"/>
      <c r="M2120" s="835"/>
      <c r="N2120" s="835"/>
      <c r="O2120" s="835"/>
      <c r="P2120" s="835"/>
      <c r="Q2120" s="540"/>
      <c r="R2120" s="540"/>
      <c r="S2120" s="540"/>
      <c r="T2120" s="540"/>
      <c r="U2120" s="540"/>
      <c r="V2120" s="540"/>
      <c r="W2120" s="540"/>
      <c r="X2120" s="540"/>
      <c r="Y2120" s="540"/>
      <c r="Z2120" s="540"/>
    </row>
    <row r="2121" spans="1:26" ht="19">
      <c r="A2121" s="631"/>
      <c r="B2121" s="631"/>
      <c r="C2121" s="631"/>
      <c r="D2121" s="832"/>
      <c r="E2121" s="631"/>
      <c r="F2121" s="631"/>
      <c r="G2121" s="631"/>
      <c r="H2121" s="833"/>
      <c r="I2121" s="834"/>
      <c r="J2121" s="834"/>
      <c r="K2121" s="835"/>
      <c r="L2121" s="835"/>
      <c r="M2121" s="835"/>
      <c r="N2121" s="835"/>
      <c r="O2121" s="835"/>
      <c r="P2121" s="835"/>
      <c r="Q2121" s="540"/>
      <c r="R2121" s="540"/>
      <c r="S2121" s="540"/>
      <c r="T2121" s="540"/>
      <c r="U2121" s="540"/>
      <c r="V2121" s="540"/>
      <c r="W2121" s="540"/>
      <c r="X2121" s="540"/>
      <c r="Y2121" s="540"/>
      <c r="Z2121" s="540"/>
    </row>
    <row r="2122" spans="1:26" ht="19">
      <c r="A2122" s="631"/>
      <c r="B2122" s="631"/>
      <c r="C2122" s="631"/>
      <c r="D2122" s="832"/>
      <c r="E2122" s="631"/>
      <c r="F2122" s="631"/>
      <c r="G2122" s="631"/>
      <c r="H2122" s="833"/>
      <c r="I2122" s="834"/>
      <c r="J2122" s="834"/>
      <c r="K2122" s="835"/>
      <c r="L2122" s="835"/>
      <c r="M2122" s="835"/>
      <c r="N2122" s="835"/>
      <c r="O2122" s="835"/>
      <c r="P2122" s="835"/>
      <c r="Q2122" s="540"/>
      <c r="R2122" s="540"/>
      <c r="S2122" s="540"/>
      <c r="T2122" s="540"/>
      <c r="U2122" s="540"/>
      <c r="V2122" s="540"/>
      <c r="W2122" s="540"/>
      <c r="X2122" s="540"/>
      <c r="Y2122" s="540"/>
      <c r="Z2122" s="540"/>
    </row>
    <row r="2123" spans="1:26" ht="19">
      <c r="A2123" s="631"/>
      <c r="B2123" s="631"/>
      <c r="C2123" s="631"/>
      <c r="D2123" s="832"/>
      <c r="E2123" s="631"/>
      <c r="F2123" s="631"/>
      <c r="G2123" s="631"/>
      <c r="H2123" s="833"/>
      <c r="I2123" s="834"/>
      <c r="J2123" s="834"/>
      <c r="K2123" s="835"/>
      <c r="L2123" s="835"/>
      <c r="M2123" s="835"/>
      <c r="N2123" s="835"/>
      <c r="O2123" s="835"/>
      <c r="P2123" s="835"/>
      <c r="Q2123" s="540"/>
      <c r="R2123" s="540"/>
      <c r="S2123" s="540"/>
      <c r="T2123" s="540"/>
      <c r="U2123" s="540"/>
      <c r="V2123" s="540"/>
      <c r="W2123" s="540"/>
      <c r="X2123" s="540"/>
      <c r="Y2123" s="540"/>
      <c r="Z2123" s="540"/>
    </row>
    <row r="2124" spans="1:26" ht="19">
      <c r="A2124" s="631"/>
      <c r="B2124" s="631"/>
      <c r="C2124" s="631"/>
      <c r="D2124" s="832"/>
      <c r="E2124" s="631"/>
      <c r="F2124" s="631"/>
      <c r="G2124" s="631"/>
      <c r="H2124" s="833"/>
      <c r="I2124" s="834"/>
      <c r="J2124" s="834"/>
      <c r="K2124" s="835"/>
      <c r="L2124" s="835"/>
      <c r="M2124" s="835"/>
      <c r="N2124" s="835"/>
      <c r="O2124" s="835"/>
      <c r="P2124" s="835"/>
      <c r="Q2124" s="540"/>
      <c r="R2124" s="540"/>
      <c r="S2124" s="540"/>
      <c r="T2124" s="540"/>
      <c r="U2124" s="540"/>
      <c r="V2124" s="540"/>
      <c r="W2124" s="540"/>
      <c r="X2124" s="540"/>
      <c r="Y2124" s="540"/>
      <c r="Z2124" s="540"/>
    </row>
    <row r="2125" spans="1:26" ht="19">
      <c r="A2125" s="631"/>
      <c r="B2125" s="631"/>
      <c r="C2125" s="631"/>
      <c r="D2125" s="832"/>
      <c r="E2125" s="631"/>
      <c r="F2125" s="631"/>
      <c r="G2125" s="631"/>
      <c r="H2125" s="833"/>
      <c r="I2125" s="834"/>
      <c r="J2125" s="834"/>
      <c r="K2125" s="835"/>
      <c r="L2125" s="835"/>
      <c r="M2125" s="835"/>
      <c r="N2125" s="835"/>
      <c r="O2125" s="835"/>
      <c r="P2125" s="835"/>
      <c r="Q2125" s="540"/>
      <c r="R2125" s="540"/>
      <c r="S2125" s="540"/>
      <c r="T2125" s="540"/>
      <c r="U2125" s="540"/>
      <c r="V2125" s="540"/>
      <c r="W2125" s="540"/>
      <c r="X2125" s="540"/>
      <c r="Y2125" s="540"/>
      <c r="Z2125" s="540"/>
    </row>
    <row r="2126" spans="1:26" ht="19">
      <c r="A2126" s="631"/>
      <c r="B2126" s="631"/>
      <c r="C2126" s="631"/>
      <c r="D2126" s="832"/>
      <c r="E2126" s="631"/>
      <c r="F2126" s="631"/>
      <c r="G2126" s="631"/>
      <c r="H2126" s="833"/>
      <c r="I2126" s="834"/>
      <c r="J2126" s="834"/>
      <c r="K2126" s="835"/>
      <c r="L2126" s="835"/>
      <c r="M2126" s="835"/>
      <c r="N2126" s="835"/>
      <c r="O2126" s="835"/>
      <c r="P2126" s="835"/>
      <c r="Q2126" s="540"/>
      <c r="R2126" s="540"/>
      <c r="S2126" s="540"/>
      <c r="T2126" s="540"/>
      <c r="U2126" s="540"/>
      <c r="V2126" s="540"/>
      <c r="W2126" s="540"/>
      <c r="X2126" s="540"/>
      <c r="Y2126" s="540"/>
      <c r="Z2126" s="540"/>
    </row>
    <row r="2127" spans="1:26" ht="19">
      <c r="A2127" s="631"/>
      <c r="B2127" s="631"/>
      <c r="C2127" s="631"/>
      <c r="D2127" s="832"/>
      <c r="E2127" s="631"/>
      <c r="F2127" s="631"/>
      <c r="G2127" s="631"/>
      <c r="H2127" s="833"/>
      <c r="I2127" s="834"/>
      <c r="J2127" s="834"/>
      <c r="K2127" s="835"/>
      <c r="L2127" s="835"/>
      <c r="M2127" s="835"/>
      <c r="N2127" s="835"/>
      <c r="O2127" s="835"/>
      <c r="P2127" s="835"/>
      <c r="Q2127" s="540"/>
      <c r="R2127" s="540"/>
      <c r="S2127" s="540"/>
      <c r="T2127" s="540"/>
      <c r="U2127" s="540"/>
      <c r="V2127" s="540"/>
      <c r="W2127" s="540"/>
      <c r="X2127" s="540"/>
      <c r="Y2127" s="540"/>
      <c r="Z2127" s="540"/>
    </row>
    <row r="2128" spans="1:26" ht="19">
      <c r="A2128" s="631"/>
      <c r="B2128" s="631"/>
      <c r="C2128" s="631"/>
      <c r="D2128" s="832"/>
      <c r="E2128" s="631"/>
      <c r="F2128" s="631"/>
      <c r="G2128" s="631"/>
      <c r="H2128" s="833"/>
      <c r="I2128" s="834"/>
      <c r="J2128" s="834"/>
      <c r="K2128" s="835"/>
      <c r="L2128" s="835"/>
      <c r="M2128" s="835"/>
      <c r="N2128" s="835"/>
      <c r="O2128" s="835"/>
      <c r="P2128" s="835"/>
      <c r="Q2128" s="540"/>
      <c r="R2128" s="540"/>
      <c r="S2128" s="540"/>
      <c r="T2128" s="540"/>
      <c r="U2128" s="540"/>
      <c r="V2128" s="540"/>
      <c r="W2128" s="540"/>
      <c r="X2128" s="540"/>
      <c r="Y2128" s="540"/>
      <c r="Z2128" s="540"/>
    </row>
    <row r="2129" spans="1:26" ht="19">
      <c r="A2129" s="631"/>
      <c r="B2129" s="631"/>
      <c r="C2129" s="631"/>
      <c r="D2129" s="832"/>
      <c r="E2129" s="631"/>
      <c r="F2129" s="631"/>
      <c r="G2129" s="631"/>
      <c r="H2129" s="833"/>
      <c r="I2129" s="834"/>
      <c r="J2129" s="834"/>
      <c r="K2129" s="835"/>
      <c r="L2129" s="835"/>
      <c r="M2129" s="835"/>
      <c r="N2129" s="835"/>
      <c r="O2129" s="835"/>
      <c r="P2129" s="835"/>
      <c r="Q2129" s="540"/>
      <c r="R2129" s="540"/>
      <c r="S2129" s="540"/>
      <c r="T2129" s="540"/>
      <c r="U2129" s="540"/>
      <c r="V2129" s="540"/>
      <c r="W2129" s="540"/>
      <c r="X2129" s="540"/>
      <c r="Y2129" s="540"/>
      <c r="Z2129" s="540"/>
    </row>
    <row r="2130" spans="1:26" ht="19">
      <c r="A2130" s="631"/>
      <c r="B2130" s="631"/>
      <c r="C2130" s="631"/>
      <c r="D2130" s="832"/>
      <c r="E2130" s="631"/>
      <c r="F2130" s="631"/>
      <c r="G2130" s="631"/>
      <c r="H2130" s="833"/>
      <c r="I2130" s="834"/>
      <c r="J2130" s="834"/>
      <c r="K2130" s="835"/>
      <c r="L2130" s="835"/>
      <c r="M2130" s="835"/>
      <c r="N2130" s="835"/>
      <c r="O2130" s="835"/>
      <c r="P2130" s="835"/>
      <c r="Q2130" s="540"/>
      <c r="R2130" s="540"/>
      <c r="S2130" s="540"/>
      <c r="T2130" s="540"/>
      <c r="U2130" s="540"/>
      <c r="V2130" s="540"/>
      <c r="W2130" s="540"/>
      <c r="X2130" s="540"/>
      <c r="Y2130" s="540"/>
      <c r="Z2130" s="540"/>
    </row>
    <row r="2131" spans="1:26" ht="19">
      <c r="A2131" s="631"/>
      <c r="B2131" s="631"/>
      <c r="C2131" s="631"/>
      <c r="D2131" s="832"/>
      <c r="E2131" s="631"/>
      <c r="F2131" s="631"/>
      <c r="G2131" s="631"/>
      <c r="H2131" s="833"/>
      <c r="I2131" s="834"/>
      <c r="J2131" s="834"/>
      <c r="K2131" s="835"/>
      <c r="L2131" s="835"/>
      <c r="M2131" s="835"/>
      <c r="N2131" s="835"/>
      <c r="O2131" s="835"/>
      <c r="P2131" s="835"/>
      <c r="Q2131" s="540"/>
      <c r="R2131" s="540"/>
      <c r="S2131" s="540"/>
      <c r="T2131" s="540"/>
      <c r="U2131" s="540"/>
      <c r="V2131" s="540"/>
      <c r="W2131" s="540"/>
      <c r="X2131" s="540"/>
      <c r="Y2131" s="540"/>
      <c r="Z2131" s="540"/>
    </row>
    <row r="2132" spans="1:26" ht="19">
      <c r="A2132" s="631"/>
      <c r="B2132" s="631"/>
      <c r="C2132" s="631"/>
      <c r="D2132" s="832"/>
      <c r="E2132" s="631"/>
      <c r="F2132" s="631"/>
      <c r="G2132" s="631"/>
      <c r="H2132" s="833"/>
      <c r="I2132" s="834"/>
      <c r="J2132" s="834"/>
      <c r="K2132" s="835"/>
      <c r="L2132" s="835"/>
      <c r="M2132" s="835"/>
      <c r="N2132" s="835"/>
      <c r="O2132" s="835"/>
      <c r="P2132" s="835"/>
      <c r="Q2132" s="540"/>
      <c r="R2132" s="540"/>
      <c r="S2132" s="540"/>
      <c r="T2132" s="540"/>
      <c r="U2132" s="540"/>
      <c r="V2132" s="540"/>
      <c r="W2132" s="540"/>
      <c r="X2132" s="540"/>
      <c r="Y2132" s="540"/>
      <c r="Z2132" s="540"/>
    </row>
    <row r="2133" spans="1:26" ht="19">
      <c r="A2133" s="631"/>
      <c r="B2133" s="631"/>
      <c r="C2133" s="631"/>
      <c r="D2133" s="832"/>
      <c r="E2133" s="631"/>
      <c r="F2133" s="631"/>
      <c r="G2133" s="631"/>
      <c r="H2133" s="833"/>
      <c r="I2133" s="834"/>
      <c r="J2133" s="834"/>
      <c r="K2133" s="835"/>
      <c r="L2133" s="835"/>
      <c r="M2133" s="835"/>
      <c r="N2133" s="835"/>
      <c r="O2133" s="835"/>
      <c r="P2133" s="835"/>
      <c r="Q2133" s="540"/>
      <c r="R2133" s="540"/>
      <c r="S2133" s="540"/>
      <c r="T2133" s="540"/>
      <c r="U2133" s="540"/>
      <c r="V2133" s="540"/>
      <c r="W2133" s="540"/>
      <c r="X2133" s="540"/>
      <c r="Y2133" s="540"/>
      <c r="Z2133" s="540"/>
    </row>
    <row r="2134" spans="1:26" ht="19">
      <c r="A2134" s="631"/>
      <c r="B2134" s="631"/>
      <c r="C2134" s="631"/>
      <c r="D2134" s="832"/>
      <c r="E2134" s="631"/>
      <c r="F2134" s="631"/>
      <c r="G2134" s="631"/>
      <c r="H2134" s="833"/>
      <c r="I2134" s="834"/>
      <c r="J2134" s="834"/>
      <c r="K2134" s="835"/>
      <c r="L2134" s="835"/>
      <c r="M2134" s="835"/>
      <c r="N2134" s="835"/>
      <c r="O2134" s="835"/>
      <c r="P2134" s="835"/>
      <c r="Q2134" s="540"/>
      <c r="R2134" s="540"/>
      <c r="S2134" s="540"/>
      <c r="T2134" s="540"/>
      <c r="U2134" s="540"/>
      <c r="V2134" s="540"/>
      <c r="W2134" s="540"/>
      <c r="X2134" s="540"/>
      <c r="Y2134" s="540"/>
      <c r="Z2134" s="540"/>
    </row>
    <row r="2135" spans="1:26" ht="19">
      <c r="A2135" s="631"/>
      <c r="B2135" s="631"/>
      <c r="C2135" s="631"/>
      <c r="D2135" s="832"/>
      <c r="E2135" s="631"/>
      <c r="F2135" s="631"/>
      <c r="G2135" s="631"/>
      <c r="H2135" s="833"/>
      <c r="I2135" s="834"/>
      <c r="J2135" s="834"/>
      <c r="K2135" s="835"/>
      <c r="L2135" s="835"/>
      <c r="M2135" s="835"/>
      <c r="N2135" s="835"/>
      <c r="O2135" s="835"/>
      <c r="P2135" s="835"/>
      <c r="Q2135" s="540"/>
      <c r="R2135" s="540"/>
      <c r="S2135" s="540"/>
      <c r="T2135" s="540"/>
      <c r="U2135" s="540"/>
      <c r="V2135" s="540"/>
      <c r="W2135" s="540"/>
      <c r="X2135" s="540"/>
      <c r="Y2135" s="540"/>
      <c r="Z2135" s="540"/>
    </row>
    <row r="2136" spans="1:26" ht="19">
      <c r="A2136" s="631"/>
      <c r="B2136" s="631"/>
      <c r="C2136" s="631"/>
      <c r="D2136" s="832"/>
      <c r="E2136" s="631"/>
      <c r="F2136" s="631"/>
      <c r="G2136" s="631"/>
      <c r="H2136" s="833"/>
      <c r="I2136" s="834"/>
      <c r="J2136" s="834"/>
      <c r="K2136" s="835"/>
      <c r="L2136" s="835"/>
      <c r="M2136" s="835"/>
      <c r="N2136" s="835"/>
      <c r="O2136" s="835"/>
      <c r="P2136" s="835"/>
      <c r="Q2136" s="540"/>
      <c r="R2136" s="540"/>
      <c r="S2136" s="540"/>
      <c r="T2136" s="540"/>
      <c r="U2136" s="540"/>
      <c r="V2136" s="540"/>
      <c r="W2136" s="540"/>
      <c r="X2136" s="540"/>
      <c r="Y2136" s="540"/>
      <c r="Z2136" s="540"/>
    </row>
    <row r="2137" spans="1:26" ht="19">
      <c r="A2137" s="631"/>
      <c r="B2137" s="631"/>
      <c r="C2137" s="631"/>
      <c r="D2137" s="832"/>
      <c r="E2137" s="631"/>
      <c r="F2137" s="631"/>
      <c r="G2137" s="631"/>
      <c r="H2137" s="833"/>
      <c r="I2137" s="834"/>
      <c r="J2137" s="834"/>
      <c r="K2137" s="835"/>
      <c r="L2137" s="835"/>
      <c r="M2137" s="835"/>
      <c r="N2137" s="835"/>
      <c r="O2137" s="835"/>
      <c r="P2137" s="835"/>
      <c r="Q2137" s="540"/>
      <c r="R2137" s="540"/>
      <c r="S2137" s="540"/>
      <c r="T2137" s="540"/>
      <c r="U2137" s="540"/>
      <c r="V2137" s="540"/>
      <c r="W2137" s="540"/>
      <c r="X2137" s="540"/>
      <c r="Y2137" s="540"/>
      <c r="Z2137" s="540"/>
    </row>
    <row r="2138" spans="1:26" ht="19">
      <c r="A2138" s="631"/>
      <c r="B2138" s="631"/>
      <c r="C2138" s="631"/>
      <c r="D2138" s="832"/>
      <c r="E2138" s="631"/>
      <c r="F2138" s="631"/>
      <c r="G2138" s="631"/>
      <c r="H2138" s="833"/>
      <c r="I2138" s="834"/>
      <c r="J2138" s="834"/>
      <c r="K2138" s="835"/>
      <c r="L2138" s="835"/>
      <c r="M2138" s="835"/>
      <c r="N2138" s="835"/>
      <c r="O2138" s="835"/>
      <c r="P2138" s="835"/>
      <c r="Q2138" s="540"/>
      <c r="R2138" s="540"/>
      <c r="S2138" s="540"/>
      <c r="T2138" s="540"/>
      <c r="U2138" s="540"/>
      <c r="V2138" s="540"/>
      <c r="W2138" s="540"/>
      <c r="X2138" s="540"/>
      <c r="Y2138" s="540"/>
      <c r="Z2138" s="540"/>
    </row>
    <row r="2139" spans="1:26" ht="19">
      <c r="A2139" s="631"/>
      <c r="B2139" s="631"/>
      <c r="C2139" s="631"/>
      <c r="D2139" s="832"/>
      <c r="E2139" s="631"/>
      <c r="F2139" s="631"/>
      <c r="G2139" s="631"/>
      <c r="H2139" s="833"/>
      <c r="I2139" s="834"/>
      <c r="J2139" s="834"/>
      <c r="K2139" s="835"/>
      <c r="L2139" s="835"/>
      <c r="M2139" s="835"/>
      <c r="N2139" s="835"/>
      <c r="O2139" s="835"/>
      <c r="P2139" s="835"/>
      <c r="Q2139" s="540"/>
      <c r="R2139" s="540"/>
      <c r="S2139" s="540"/>
      <c r="T2139" s="540"/>
      <c r="U2139" s="540"/>
      <c r="V2139" s="540"/>
      <c r="W2139" s="540"/>
      <c r="X2139" s="540"/>
      <c r="Y2139" s="540"/>
      <c r="Z2139" s="540"/>
    </row>
    <row r="2140" spans="1:26" ht="19">
      <c r="A2140" s="631"/>
      <c r="B2140" s="631"/>
      <c r="C2140" s="631"/>
      <c r="D2140" s="832"/>
      <c r="E2140" s="631"/>
      <c r="F2140" s="631"/>
      <c r="G2140" s="631"/>
      <c r="H2140" s="833"/>
      <c r="I2140" s="834"/>
      <c r="J2140" s="834"/>
      <c r="K2140" s="835"/>
      <c r="L2140" s="835"/>
      <c r="M2140" s="835"/>
      <c r="N2140" s="835"/>
      <c r="O2140" s="835"/>
      <c r="P2140" s="835"/>
      <c r="Q2140" s="540"/>
      <c r="R2140" s="540"/>
      <c r="S2140" s="540"/>
      <c r="T2140" s="540"/>
      <c r="U2140" s="540"/>
      <c r="V2140" s="540"/>
      <c r="W2140" s="540"/>
      <c r="X2140" s="540"/>
      <c r="Y2140" s="540"/>
      <c r="Z2140" s="540"/>
    </row>
    <row r="2141" spans="1:26" ht="19">
      <c r="A2141" s="631"/>
      <c r="B2141" s="631"/>
      <c r="C2141" s="631"/>
      <c r="D2141" s="832"/>
      <c r="E2141" s="631"/>
      <c r="F2141" s="631"/>
      <c r="G2141" s="631"/>
      <c r="H2141" s="833"/>
      <c r="I2141" s="834"/>
      <c r="J2141" s="834"/>
      <c r="K2141" s="835"/>
      <c r="L2141" s="835"/>
      <c r="M2141" s="835"/>
      <c r="N2141" s="835"/>
      <c r="O2141" s="835"/>
      <c r="P2141" s="835"/>
      <c r="Q2141" s="540"/>
      <c r="R2141" s="540"/>
      <c r="S2141" s="540"/>
      <c r="T2141" s="540"/>
      <c r="U2141" s="540"/>
      <c r="V2141" s="540"/>
      <c r="W2141" s="540"/>
      <c r="X2141" s="540"/>
      <c r="Y2141" s="540"/>
      <c r="Z2141" s="540"/>
    </row>
    <row r="2142" spans="1:26" ht="19">
      <c r="A2142" s="631"/>
      <c r="B2142" s="631"/>
      <c r="C2142" s="631"/>
      <c r="D2142" s="832"/>
      <c r="E2142" s="631"/>
      <c r="F2142" s="631"/>
      <c r="G2142" s="631"/>
      <c r="H2142" s="833"/>
      <c r="I2142" s="834"/>
      <c r="J2142" s="834"/>
      <c r="K2142" s="835"/>
      <c r="L2142" s="835"/>
      <c r="M2142" s="835"/>
      <c r="N2142" s="835"/>
      <c r="O2142" s="835"/>
      <c r="P2142" s="835"/>
      <c r="Q2142" s="540"/>
      <c r="R2142" s="540"/>
      <c r="S2142" s="540"/>
      <c r="T2142" s="540"/>
      <c r="U2142" s="540"/>
      <c r="V2142" s="540"/>
      <c r="W2142" s="540"/>
      <c r="X2142" s="540"/>
      <c r="Y2142" s="540"/>
      <c r="Z2142" s="540"/>
    </row>
    <row r="2143" spans="1:26" ht="19">
      <c r="A2143" s="631"/>
      <c r="B2143" s="631"/>
      <c r="C2143" s="631"/>
      <c r="D2143" s="832"/>
      <c r="E2143" s="631"/>
      <c r="F2143" s="631"/>
      <c r="G2143" s="631"/>
      <c r="H2143" s="833"/>
      <c r="I2143" s="834"/>
      <c r="J2143" s="834"/>
      <c r="K2143" s="835"/>
      <c r="L2143" s="835"/>
      <c r="M2143" s="835"/>
      <c r="N2143" s="835"/>
      <c r="O2143" s="835"/>
      <c r="P2143" s="835"/>
      <c r="Q2143" s="540"/>
      <c r="R2143" s="540"/>
      <c r="S2143" s="540"/>
      <c r="T2143" s="540"/>
      <c r="U2143" s="540"/>
      <c r="V2143" s="540"/>
      <c r="W2143" s="540"/>
      <c r="X2143" s="540"/>
      <c r="Y2143" s="540"/>
      <c r="Z2143" s="540"/>
    </row>
    <row r="2144" spans="1:26" ht="19">
      <c r="A2144" s="631"/>
      <c r="B2144" s="631"/>
      <c r="C2144" s="631"/>
      <c r="D2144" s="832"/>
      <c r="E2144" s="631"/>
      <c r="F2144" s="631"/>
      <c r="G2144" s="631"/>
      <c r="H2144" s="833"/>
      <c r="I2144" s="834"/>
      <c r="J2144" s="834"/>
      <c r="K2144" s="835"/>
      <c r="L2144" s="835"/>
      <c r="M2144" s="835"/>
      <c r="N2144" s="835"/>
      <c r="O2144" s="835"/>
      <c r="P2144" s="835"/>
      <c r="Q2144" s="540"/>
      <c r="R2144" s="540"/>
      <c r="S2144" s="540"/>
      <c r="T2144" s="540"/>
      <c r="U2144" s="540"/>
      <c r="V2144" s="540"/>
      <c r="W2144" s="540"/>
      <c r="X2144" s="540"/>
      <c r="Y2144" s="540"/>
      <c r="Z2144" s="540"/>
    </row>
    <row r="2145" spans="1:26" ht="19">
      <c r="A2145" s="631"/>
      <c r="B2145" s="631"/>
      <c r="C2145" s="631"/>
      <c r="D2145" s="832"/>
      <c r="E2145" s="631"/>
      <c r="F2145" s="631"/>
      <c r="G2145" s="631"/>
      <c r="H2145" s="833"/>
      <c r="I2145" s="834"/>
      <c r="J2145" s="834"/>
      <c r="K2145" s="835"/>
      <c r="L2145" s="835"/>
      <c r="M2145" s="835"/>
      <c r="N2145" s="835"/>
      <c r="O2145" s="835"/>
      <c r="P2145" s="835"/>
      <c r="Q2145" s="540"/>
      <c r="R2145" s="540"/>
      <c r="S2145" s="540"/>
      <c r="T2145" s="540"/>
      <c r="U2145" s="540"/>
      <c r="V2145" s="540"/>
      <c r="W2145" s="540"/>
      <c r="X2145" s="540"/>
      <c r="Y2145" s="540"/>
      <c r="Z2145" s="540"/>
    </row>
    <row r="2146" spans="1:26" ht="19">
      <c r="A2146" s="631"/>
      <c r="B2146" s="631"/>
      <c r="C2146" s="631"/>
      <c r="D2146" s="832"/>
      <c r="E2146" s="631"/>
      <c r="F2146" s="631"/>
      <c r="G2146" s="631"/>
      <c r="H2146" s="833"/>
      <c r="I2146" s="834"/>
      <c r="J2146" s="834"/>
      <c r="K2146" s="835"/>
      <c r="L2146" s="835"/>
      <c r="M2146" s="835"/>
      <c r="N2146" s="835"/>
      <c r="O2146" s="835"/>
      <c r="P2146" s="835"/>
      <c r="Q2146" s="540"/>
      <c r="R2146" s="540"/>
      <c r="S2146" s="540"/>
      <c r="T2146" s="540"/>
      <c r="U2146" s="540"/>
      <c r="V2146" s="540"/>
      <c r="W2146" s="540"/>
      <c r="X2146" s="540"/>
      <c r="Y2146" s="540"/>
      <c r="Z2146" s="540"/>
    </row>
    <row r="2147" spans="1:26" ht="19">
      <c r="A2147" s="631"/>
      <c r="B2147" s="631"/>
      <c r="C2147" s="631"/>
      <c r="D2147" s="832"/>
      <c r="E2147" s="631"/>
      <c r="F2147" s="631"/>
      <c r="G2147" s="631"/>
      <c r="H2147" s="833"/>
      <c r="I2147" s="834"/>
      <c r="J2147" s="834"/>
      <c r="K2147" s="835"/>
      <c r="L2147" s="835"/>
      <c r="M2147" s="835"/>
      <c r="N2147" s="835"/>
      <c r="O2147" s="835"/>
      <c r="P2147" s="835"/>
      <c r="Q2147" s="540"/>
      <c r="R2147" s="540"/>
      <c r="S2147" s="540"/>
      <c r="T2147" s="540"/>
      <c r="U2147" s="540"/>
      <c r="V2147" s="540"/>
      <c r="W2147" s="540"/>
      <c r="X2147" s="540"/>
      <c r="Y2147" s="540"/>
      <c r="Z2147" s="540"/>
    </row>
    <row r="2148" spans="1:26" ht="19">
      <c r="A2148" s="631"/>
      <c r="B2148" s="631"/>
      <c r="C2148" s="631"/>
      <c r="D2148" s="832"/>
      <c r="E2148" s="631"/>
      <c r="F2148" s="631"/>
      <c r="G2148" s="631"/>
      <c r="H2148" s="833"/>
      <c r="I2148" s="834"/>
      <c r="J2148" s="834"/>
      <c r="K2148" s="835"/>
      <c r="L2148" s="835"/>
      <c r="M2148" s="835"/>
      <c r="N2148" s="835"/>
      <c r="O2148" s="835"/>
      <c r="P2148" s="835"/>
      <c r="Q2148" s="540"/>
      <c r="R2148" s="540"/>
      <c r="S2148" s="540"/>
      <c r="T2148" s="540"/>
      <c r="U2148" s="540"/>
      <c r="V2148" s="540"/>
      <c r="W2148" s="540"/>
      <c r="X2148" s="540"/>
      <c r="Y2148" s="540"/>
      <c r="Z2148" s="540"/>
    </row>
    <row r="2149" spans="1:26" ht="19">
      <c r="A2149" s="631"/>
      <c r="B2149" s="631"/>
      <c r="C2149" s="631"/>
      <c r="D2149" s="832"/>
      <c r="E2149" s="631"/>
      <c r="F2149" s="631"/>
      <c r="G2149" s="631"/>
      <c r="H2149" s="833"/>
      <c r="I2149" s="834"/>
      <c r="J2149" s="834"/>
      <c r="K2149" s="835"/>
      <c r="L2149" s="835"/>
      <c r="M2149" s="835"/>
      <c r="N2149" s="835"/>
      <c r="O2149" s="835"/>
      <c r="P2149" s="835"/>
      <c r="Q2149" s="540"/>
      <c r="R2149" s="540"/>
      <c r="S2149" s="540"/>
      <c r="T2149" s="540"/>
      <c r="U2149" s="540"/>
      <c r="V2149" s="540"/>
      <c r="W2149" s="540"/>
      <c r="X2149" s="540"/>
      <c r="Y2149" s="540"/>
      <c r="Z2149" s="540"/>
    </row>
    <row r="2150" spans="1:26" ht="19">
      <c r="A2150" s="631"/>
      <c r="B2150" s="631"/>
      <c r="C2150" s="631"/>
      <c r="D2150" s="832"/>
      <c r="E2150" s="631"/>
      <c r="F2150" s="631"/>
      <c r="G2150" s="631"/>
      <c r="H2150" s="833"/>
      <c r="I2150" s="834"/>
      <c r="J2150" s="834"/>
      <c r="K2150" s="835"/>
      <c r="L2150" s="835"/>
      <c r="M2150" s="835"/>
      <c r="N2150" s="835"/>
      <c r="O2150" s="835"/>
      <c r="P2150" s="835"/>
      <c r="Q2150" s="540"/>
      <c r="R2150" s="540"/>
      <c r="S2150" s="540"/>
      <c r="T2150" s="540"/>
      <c r="U2150" s="540"/>
      <c r="V2150" s="540"/>
      <c r="W2150" s="540"/>
      <c r="X2150" s="540"/>
      <c r="Y2150" s="540"/>
      <c r="Z2150" s="540"/>
    </row>
    <row r="2151" spans="1:26" ht="19">
      <c r="A2151" s="631"/>
      <c r="B2151" s="631"/>
      <c r="C2151" s="631"/>
      <c r="D2151" s="832"/>
      <c r="E2151" s="631"/>
      <c r="F2151" s="631"/>
      <c r="G2151" s="631"/>
      <c r="H2151" s="833"/>
      <c r="I2151" s="834"/>
      <c r="J2151" s="834"/>
      <c r="K2151" s="835"/>
      <c r="L2151" s="835"/>
      <c r="M2151" s="835"/>
      <c r="N2151" s="835"/>
      <c r="O2151" s="835"/>
      <c r="P2151" s="835"/>
      <c r="Q2151" s="540"/>
      <c r="R2151" s="540"/>
      <c r="S2151" s="540"/>
      <c r="T2151" s="540"/>
      <c r="U2151" s="540"/>
      <c r="V2151" s="540"/>
      <c r="W2151" s="540"/>
      <c r="X2151" s="540"/>
      <c r="Y2151" s="540"/>
      <c r="Z2151" s="540"/>
    </row>
    <row r="2152" spans="1:26" ht="19">
      <c r="A2152" s="631"/>
      <c r="B2152" s="631"/>
      <c r="C2152" s="631"/>
      <c r="D2152" s="832"/>
      <c r="E2152" s="631"/>
      <c r="F2152" s="631"/>
      <c r="G2152" s="631"/>
      <c r="H2152" s="833"/>
      <c r="I2152" s="834"/>
      <c r="J2152" s="834"/>
      <c r="K2152" s="835"/>
      <c r="L2152" s="835"/>
      <c r="M2152" s="835"/>
      <c r="N2152" s="835"/>
      <c r="O2152" s="835"/>
      <c r="P2152" s="835"/>
      <c r="Q2152" s="540"/>
      <c r="R2152" s="540"/>
      <c r="S2152" s="540"/>
      <c r="T2152" s="540"/>
      <c r="U2152" s="540"/>
      <c r="V2152" s="540"/>
      <c r="W2152" s="540"/>
      <c r="X2152" s="540"/>
      <c r="Y2152" s="540"/>
      <c r="Z2152" s="540"/>
    </row>
    <row r="2153" spans="1:26" ht="19">
      <c r="A2153" s="631"/>
      <c r="B2153" s="631"/>
      <c r="C2153" s="631"/>
      <c r="D2153" s="832"/>
      <c r="E2153" s="631"/>
      <c r="F2153" s="631"/>
      <c r="G2153" s="631"/>
      <c r="H2153" s="833"/>
      <c r="I2153" s="834"/>
      <c r="J2153" s="834"/>
      <c r="K2153" s="835"/>
      <c r="L2153" s="835"/>
      <c r="M2153" s="835"/>
      <c r="N2153" s="835"/>
      <c r="O2153" s="835"/>
      <c r="P2153" s="835"/>
      <c r="Q2153" s="540"/>
      <c r="R2153" s="540"/>
      <c r="S2153" s="540"/>
      <c r="T2153" s="540"/>
      <c r="U2153" s="540"/>
      <c r="V2153" s="540"/>
      <c r="W2153" s="540"/>
      <c r="X2153" s="540"/>
      <c r="Y2153" s="540"/>
      <c r="Z2153" s="540"/>
    </row>
    <row r="2154" spans="1:26" ht="19">
      <c r="A2154" s="631"/>
      <c r="B2154" s="631"/>
      <c r="C2154" s="631"/>
      <c r="D2154" s="832"/>
      <c r="E2154" s="631"/>
      <c r="F2154" s="631"/>
      <c r="G2154" s="631"/>
      <c r="H2154" s="833"/>
      <c r="I2154" s="834"/>
      <c r="J2154" s="834"/>
      <c r="K2154" s="835"/>
      <c r="L2154" s="835"/>
      <c r="M2154" s="835"/>
      <c r="N2154" s="835"/>
      <c r="O2154" s="835"/>
      <c r="P2154" s="835"/>
      <c r="Q2154" s="540"/>
      <c r="R2154" s="540"/>
      <c r="S2154" s="540"/>
      <c r="T2154" s="540"/>
      <c r="U2154" s="540"/>
      <c r="V2154" s="540"/>
      <c r="W2154" s="540"/>
      <c r="X2154" s="540"/>
      <c r="Y2154" s="540"/>
      <c r="Z2154" s="540"/>
    </row>
    <row r="2155" spans="1:26" ht="19">
      <c r="A2155" s="631"/>
      <c r="B2155" s="631"/>
      <c r="C2155" s="631"/>
      <c r="D2155" s="832"/>
      <c r="E2155" s="631"/>
      <c r="F2155" s="631"/>
      <c r="G2155" s="631"/>
      <c r="H2155" s="833"/>
      <c r="I2155" s="834"/>
      <c r="J2155" s="834"/>
      <c r="K2155" s="835"/>
      <c r="L2155" s="835"/>
      <c r="M2155" s="835"/>
      <c r="N2155" s="835"/>
      <c r="O2155" s="835"/>
      <c r="P2155" s="835"/>
      <c r="Q2155" s="540"/>
      <c r="R2155" s="540"/>
      <c r="S2155" s="540"/>
      <c r="T2155" s="540"/>
      <c r="U2155" s="540"/>
      <c r="V2155" s="540"/>
      <c r="W2155" s="540"/>
      <c r="X2155" s="540"/>
      <c r="Y2155" s="540"/>
      <c r="Z2155" s="540"/>
    </row>
    <row r="2156" spans="1:26" ht="19">
      <c r="A2156" s="631"/>
      <c r="B2156" s="631"/>
      <c r="C2156" s="631"/>
      <c r="D2156" s="832"/>
      <c r="E2156" s="631"/>
      <c r="F2156" s="631"/>
      <c r="G2156" s="631"/>
      <c r="H2156" s="833"/>
      <c r="I2156" s="834"/>
      <c r="J2156" s="834"/>
      <c r="K2156" s="835"/>
      <c r="L2156" s="835"/>
      <c r="M2156" s="835"/>
      <c r="N2156" s="835"/>
      <c r="O2156" s="835"/>
      <c r="P2156" s="835"/>
      <c r="Q2156" s="540"/>
      <c r="R2156" s="540"/>
      <c r="S2156" s="540"/>
      <c r="T2156" s="540"/>
      <c r="U2156" s="540"/>
      <c r="V2156" s="540"/>
      <c r="W2156" s="540"/>
      <c r="X2156" s="540"/>
      <c r="Y2156" s="540"/>
      <c r="Z2156" s="540"/>
    </row>
    <row r="2157" spans="1:26" ht="19">
      <c r="A2157" s="631"/>
      <c r="B2157" s="631"/>
      <c r="C2157" s="631"/>
      <c r="D2157" s="832"/>
      <c r="E2157" s="631"/>
      <c r="F2157" s="631"/>
      <c r="G2157" s="631"/>
      <c r="H2157" s="833"/>
      <c r="I2157" s="834"/>
      <c r="J2157" s="834"/>
      <c r="K2157" s="835"/>
      <c r="L2157" s="835"/>
      <c r="M2157" s="835"/>
      <c r="N2157" s="835"/>
      <c r="O2157" s="835"/>
      <c r="P2157" s="835"/>
      <c r="Q2157" s="540"/>
      <c r="R2157" s="540"/>
      <c r="S2157" s="540"/>
      <c r="T2157" s="540"/>
      <c r="U2157" s="540"/>
      <c r="V2157" s="540"/>
      <c r="W2157" s="540"/>
      <c r="X2157" s="540"/>
      <c r="Y2157" s="540"/>
      <c r="Z2157" s="540"/>
    </row>
    <row r="2158" spans="1:26" ht="19">
      <c r="A2158" s="631"/>
      <c r="B2158" s="631"/>
      <c r="C2158" s="631"/>
      <c r="D2158" s="832"/>
      <c r="E2158" s="631"/>
      <c r="F2158" s="631"/>
      <c r="G2158" s="631"/>
      <c r="H2158" s="833"/>
      <c r="I2158" s="834"/>
      <c r="J2158" s="834"/>
      <c r="K2158" s="835"/>
      <c r="L2158" s="835"/>
      <c r="M2158" s="835"/>
      <c r="N2158" s="835"/>
      <c r="O2158" s="835"/>
      <c r="P2158" s="835"/>
      <c r="Q2158" s="540"/>
      <c r="R2158" s="540"/>
      <c r="S2158" s="540"/>
      <c r="T2158" s="540"/>
      <c r="U2158" s="540"/>
      <c r="V2158" s="540"/>
      <c r="W2158" s="540"/>
      <c r="X2158" s="540"/>
      <c r="Y2158" s="540"/>
      <c r="Z2158" s="540"/>
    </row>
    <row r="2159" spans="1:26" ht="19">
      <c r="A2159" s="631"/>
      <c r="B2159" s="631"/>
      <c r="C2159" s="631"/>
      <c r="D2159" s="832"/>
      <c r="E2159" s="631"/>
      <c r="F2159" s="631"/>
      <c r="G2159" s="631"/>
      <c r="H2159" s="833"/>
      <c r="I2159" s="834"/>
      <c r="J2159" s="834"/>
      <c r="K2159" s="835"/>
      <c r="L2159" s="835"/>
      <c r="M2159" s="835"/>
      <c r="N2159" s="835"/>
      <c r="O2159" s="835"/>
      <c r="P2159" s="835"/>
      <c r="Q2159" s="540"/>
      <c r="R2159" s="540"/>
      <c r="S2159" s="540"/>
      <c r="T2159" s="540"/>
      <c r="U2159" s="540"/>
      <c r="V2159" s="540"/>
      <c r="W2159" s="540"/>
      <c r="X2159" s="540"/>
      <c r="Y2159" s="540"/>
      <c r="Z2159" s="540"/>
    </row>
    <row r="2160" spans="1:26" ht="19">
      <c r="A2160" s="631"/>
      <c r="B2160" s="631"/>
      <c r="C2160" s="631"/>
      <c r="D2160" s="832"/>
      <c r="E2160" s="631"/>
      <c r="F2160" s="631"/>
      <c r="G2160" s="631"/>
      <c r="H2160" s="833"/>
      <c r="I2160" s="834"/>
      <c r="J2160" s="834"/>
      <c r="K2160" s="835"/>
      <c r="L2160" s="835"/>
      <c r="M2160" s="835"/>
      <c r="N2160" s="835"/>
      <c r="O2160" s="835"/>
      <c r="P2160" s="835"/>
      <c r="Q2160" s="540"/>
      <c r="R2160" s="540"/>
      <c r="S2160" s="540"/>
      <c r="T2160" s="540"/>
      <c r="U2160" s="540"/>
      <c r="V2160" s="540"/>
      <c r="W2160" s="540"/>
      <c r="X2160" s="540"/>
      <c r="Y2160" s="540"/>
      <c r="Z2160" s="540"/>
    </row>
    <row r="2161" spans="1:26" ht="19">
      <c r="A2161" s="631"/>
      <c r="B2161" s="631"/>
      <c r="C2161" s="631"/>
      <c r="D2161" s="832"/>
      <c r="E2161" s="631"/>
      <c r="F2161" s="631"/>
      <c r="G2161" s="631"/>
      <c r="H2161" s="833"/>
      <c r="I2161" s="834"/>
      <c r="J2161" s="834"/>
      <c r="K2161" s="835"/>
      <c r="L2161" s="835"/>
      <c r="M2161" s="835"/>
      <c r="N2161" s="835"/>
      <c r="O2161" s="835"/>
      <c r="P2161" s="835"/>
      <c r="Q2161" s="540"/>
      <c r="R2161" s="540"/>
      <c r="S2161" s="540"/>
      <c r="T2161" s="540"/>
      <c r="U2161" s="540"/>
      <c r="V2161" s="540"/>
      <c r="W2161" s="540"/>
      <c r="X2161" s="540"/>
      <c r="Y2161" s="540"/>
      <c r="Z2161" s="540"/>
    </row>
    <row r="2162" spans="1:26" ht="19">
      <c r="A2162" s="631"/>
      <c r="B2162" s="631"/>
      <c r="C2162" s="631"/>
      <c r="D2162" s="832"/>
      <c r="E2162" s="631"/>
      <c r="F2162" s="631"/>
      <c r="G2162" s="631"/>
      <c r="H2162" s="833"/>
      <c r="I2162" s="834"/>
      <c r="J2162" s="834"/>
      <c r="K2162" s="835"/>
      <c r="L2162" s="835"/>
      <c r="M2162" s="835"/>
      <c r="N2162" s="835"/>
      <c r="O2162" s="835"/>
      <c r="P2162" s="835"/>
      <c r="Q2162" s="540"/>
      <c r="R2162" s="540"/>
      <c r="S2162" s="540"/>
      <c r="T2162" s="540"/>
      <c r="U2162" s="540"/>
      <c r="V2162" s="540"/>
      <c r="W2162" s="540"/>
      <c r="X2162" s="540"/>
      <c r="Y2162" s="540"/>
      <c r="Z2162" s="540"/>
    </row>
    <row r="2163" spans="1:26" ht="19">
      <c r="A2163" s="631"/>
      <c r="B2163" s="631"/>
      <c r="C2163" s="631"/>
      <c r="D2163" s="832"/>
      <c r="E2163" s="631"/>
      <c r="F2163" s="631"/>
      <c r="G2163" s="631"/>
      <c r="H2163" s="833"/>
      <c r="I2163" s="834"/>
      <c r="J2163" s="834"/>
      <c r="K2163" s="835"/>
      <c r="L2163" s="835"/>
      <c r="M2163" s="835"/>
      <c r="N2163" s="835"/>
      <c r="O2163" s="835"/>
      <c r="P2163" s="835"/>
      <c r="Q2163" s="540"/>
      <c r="R2163" s="540"/>
      <c r="S2163" s="540"/>
      <c r="T2163" s="540"/>
      <c r="U2163" s="540"/>
      <c r="V2163" s="540"/>
      <c r="W2163" s="540"/>
      <c r="X2163" s="540"/>
      <c r="Y2163" s="540"/>
      <c r="Z2163" s="540"/>
    </row>
    <row r="2164" spans="1:26" ht="19">
      <c r="A2164" s="631"/>
      <c r="B2164" s="631"/>
      <c r="C2164" s="631"/>
      <c r="D2164" s="832"/>
      <c r="E2164" s="631"/>
      <c r="F2164" s="631"/>
      <c r="G2164" s="631"/>
      <c r="H2164" s="833"/>
      <c r="I2164" s="834"/>
      <c r="J2164" s="834"/>
      <c r="K2164" s="835"/>
      <c r="L2164" s="835"/>
      <c r="M2164" s="835"/>
      <c r="N2164" s="835"/>
      <c r="O2164" s="835"/>
      <c r="P2164" s="835"/>
      <c r="Q2164" s="540"/>
      <c r="R2164" s="540"/>
      <c r="S2164" s="540"/>
      <c r="T2164" s="540"/>
      <c r="U2164" s="540"/>
      <c r="V2164" s="540"/>
      <c r="W2164" s="540"/>
      <c r="X2164" s="540"/>
      <c r="Y2164" s="540"/>
      <c r="Z2164" s="540"/>
    </row>
    <row r="2165" spans="1:26" ht="19">
      <c r="A2165" s="631"/>
      <c r="B2165" s="631"/>
      <c r="C2165" s="631"/>
      <c r="D2165" s="832"/>
      <c r="E2165" s="631"/>
      <c r="F2165" s="631"/>
      <c r="G2165" s="631"/>
      <c r="H2165" s="833"/>
      <c r="I2165" s="834"/>
      <c r="J2165" s="834"/>
      <c r="K2165" s="835"/>
      <c r="L2165" s="835"/>
      <c r="M2165" s="835"/>
      <c r="N2165" s="835"/>
      <c r="O2165" s="835"/>
      <c r="P2165" s="835"/>
      <c r="Q2165" s="540"/>
      <c r="R2165" s="540"/>
      <c r="S2165" s="540"/>
      <c r="T2165" s="540"/>
      <c r="U2165" s="540"/>
      <c r="V2165" s="540"/>
      <c r="W2165" s="540"/>
      <c r="X2165" s="540"/>
      <c r="Y2165" s="540"/>
      <c r="Z2165" s="540"/>
    </row>
    <row r="2166" spans="1:26" ht="19">
      <c r="A2166" s="631"/>
      <c r="B2166" s="631"/>
      <c r="C2166" s="631"/>
      <c r="D2166" s="832"/>
      <c r="E2166" s="631"/>
      <c r="F2166" s="631"/>
      <c r="G2166" s="631"/>
      <c r="H2166" s="833"/>
      <c r="I2166" s="834"/>
      <c r="J2166" s="834"/>
      <c r="K2166" s="835"/>
      <c r="L2166" s="835"/>
      <c r="M2166" s="835"/>
      <c r="N2166" s="835"/>
      <c r="O2166" s="835"/>
      <c r="P2166" s="835"/>
      <c r="Q2166" s="540"/>
      <c r="R2166" s="540"/>
      <c r="S2166" s="540"/>
      <c r="T2166" s="540"/>
      <c r="U2166" s="540"/>
      <c r="V2166" s="540"/>
      <c r="W2166" s="540"/>
      <c r="X2166" s="540"/>
      <c r="Y2166" s="540"/>
      <c r="Z2166" s="540"/>
    </row>
    <row r="2167" spans="1:26" ht="19">
      <c r="A2167" s="631"/>
      <c r="B2167" s="631"/>
      <c r="C2167" s="631"/>
      <c r="D2167" s="832"/>
      <c r="E2167" s="631"/>
      <c r="F2167" s="631"/>
      <c r="G2167" s="631"/>
      <c r="H2167" s="833"/>
      <c r="I2167" s="834"/>
      <c r="J2167" s="834"/>
      <c r="K2167" s="835"/>
      <c r="L2167" s="835"/>
      <c r="M2167" s="835"/>
      <c r="N2167" s="835"/>
      <c r="O2167" s="835"/>
      <c r="P2167" s="835"/>
      <c r="Q2167" s="540"/>
      <c r="R2167" s="540"/>
      <c r="S2167" s="540"/>
      <c r="T2167" s="540"/>
      <c r="U2167" s="540"/>
      <c r="V2167" s="540"/>
      <c r="W2167" s="540"/>
      <c r="X2167" s="540"/>
      <c r="Y2167" s="540"/>
      <c r="Z2167" s="540"/>
    </row>
    <row r="2168" spans="1:26" ht="19">
      <c r="A2168" s="631"/>
      <c r="B2168" s="631"/>
      <c r="C2168" s="631"/>
      <c r="D2168" s="832"/>
      <c r="E2168" s="631"/>
      <c r="F2168" s="631"/>
      <c r="G2168" s="631"/>
      <c r="H2168" s="833"/>
      <c r="I2168" s="834"/>
      <c r="J2168" s="834"/>
      <c r="K2168" s="835"/>
      <c r="L2168" s="835"/>
      <c r="M2168" s="835"/>
      <c r="N2168" s="835"/>
      <c r="O2168" s="835"/>
      <c r="P2168" s="835"/>
      <c r="Q2168" s="540"/>
      <c r="R2168" s="540"/>
      <c r="S2168" s="540"/>
      <c r="T2168" s="540"/>
      <c r="U2168" s="540"/>
      <c r="V2168" s="540"/>
      <c r="W2168" s="540"/>
      <c r="X2168" s="540"/>
      <c r="Y2168" s="540"/>
      <c r="Z2168" s="540"/>
    </row>
    <row r="2169" spans="1:26" ht="19">
      <c r="A2169" s="631"/>
      <c r="B2169" s="631"/>
      <c r="C2169" s="631"/>
      <c r="D2169" s="832"/>
      <c r="E2169" s="631"/>
      <c r="F2169" s="631"/>
      <c r="G2169" s="631"/>
      <c r="H2169" s="833"/>
      <c r="I2169" s="834"/>
      <c r="J2169" s="834"/>
      <c r="K2169" s="835"/>
      <c r="L2169" s="835"/>
      <c r="M2169" s="835"/>
      <c r="N2169" s="835"/>
      <c r="O2169" s="835"/>
      <c r="P2169" s="835"/>
      <c r="Q2169" s="540"/>
      <c r="R2169" s="540"/>
      <c r="S2169" s="540"/>
      <c r="T2169" s="540"/>
      <c r="U2169" s="540"/>
      <c r="V2169" s="540"/>
      <c r="W2169" s="540"/>
      <c r="X2169" s="540"/>
      <c r="Y2169" s="540"/>
      <c r="Z2169" s="540"/>
    </row>
    <row r="2170" spans="1:26" ht="19">
      <c r="A2170" s="631"/>
      <c r="B2170" s="631"/>
      <c r="C2170" s="631"/>
      <c r="D2170" s="832"/>
      <c r="E2170" s="631"/>
      <c r="F2170" s="631"/>
      <c r="G2170" s="631"/>
      <c r="H2170" s="833"/>
      <c r="I2170" s="834"/>
      <c r="J2170" s="834"/>
      <c r="K2170" s="835"/>
      <c r="L2170" s="835"/>
      <c r="M2170" s="835"/>
      <c r="N2170" s="835"/>
      <c r="O2170" s="835"/>
      <c r="P2170" s="835"/>
      <c r="Q2170" s="540"/>
      <c r="R2170" s="540"/>
      <c r="S2170" s="540"/>
      <c r="T2170" s="540"/>
      <c r="U2170" s="540"/>
      <c r="V2170" s="540"/>
      <c r="W2170" s="540"/>
      <c r="X2170" s="540"/>
      <c r="Y2170" s="540"/>
      <c r="Z2170" s="540"/>
    </row>
    <row r="2171" spans="1:26" ht="19">
      <c r="A2171" s="631"/>
      <c r="B2171" s="631"/>
      <c r="C2171" s="631"/>
      <c r="D2171" s="832"/>
      <c r="E2171" s="631"/>
      <c r="F2171" s="631"/>
      <c r="G2171" s="631"/>
      <c r="H2171" s="833"/>
      <c r="I2171" s="834"/>
      <c r="J2171" s="834"/>
      <c r="K2171" s="835"/>
      <c r="L2171" s="835"/>
      <c r="M2171" s="835"/>
      <c r="N2171" s="835"/>
      <c r="O2171" s="835"/>
      <c r="P2171" s="835"/>
      <c r="Q2171" s="540"/>
      <c r="R2171" s="540"/>
      <c r="S2171" s="540"/>
      <c r="T2171" s="540"/>
      <c r="U2171" s="540"/>
      <c r="V2171" s="540"/>
      <c r="W2171" s="540"/>
      <c r="X2171" s="540"/>
      <c r="Y2171" s="540"/>
      <c r="Z2171" s="540"/>
    </row>
    <row r="2172" spans="1:26" ht="19">
      <c r="A2172" s="631"/>
      <c r="B2172" s="631"/>
      <c r="C2172" s="631"/>
      <c r="D2172" s="832"/>
      <c r="E2172" s="631"/>
      <c r="F2172" s="631"/>
      <c r="G2172" s="631"/>
      <c r="H2172" s="833"/>
      <c r="I2172" s="834"/>
      <c r="J2172" s="834"/>
      <c r="K2172" s="835"/>
      <c r="L2172" s="835"/>
      <c r="M2172" s="835"/>
      <c r="N2172" s="835"/>
      <c r="O2172" s="835"/>
      <c r="P2172" s="835"/>
      <c r="Q2172" s="540"/>
      <c r="R2172" s="540"/>
      <c r="S2172" s="540"/>
      <c r="T2172" s="540"/>
      <c r="U2172" s="540"/>
      <c r="V2172" s="540"/>
      <c r="W2172" s="540"/>
      <c r="X2172" s="540"/>
      <c r="Y2172" s="540"/>
      <c r="Z2172" s="540"/>
    </row>
    <row r="2173" spans="1:26" ht="19">
      <c r="A2173" s="631"/>
      <c r="B2173" s="631"/>
      <c r="C2173" s="631"/>
      <c r="D2173" s="832"/>
      <c r="E2173" s="631"/>
      <c r="F2173" s="631"/>
      <c r="G2173" s="631"/>
      <c r="H2173" s="833"/>
      <c r="I2173" s="834"/>
      <c r="J2173" s="834"/>
      <c r="K2173" s="835"/>
      <c r="L2173" s="835"/>
      <c r="M2173" s="835"/>
      <c r="N2173" s="835"/>
      <c r="O2173" s="835"/>
      <c r="P2173" s="835"/>
      <c r="Q2173" s="540"/>
      <c r="R2173" s="540"/>
      <c r="S2173" s="540"/>
      <c r="T2173" s="540"/>
      <c r="U2173" s="540"/>
      <c r="V2173" s="540"/>
      <c r="W2173" s="540"/>
      <c r="X2173" s="540"/>
      <c r="Y2173" s="540"/>
      <c r="Z2173" s="540"/>
    </row>
    <row r="2174" spans="1:26" ht="19">
      <c r="A2174" s="631"/>
      <c r="B2174" s="631"/>
      <c r="C2174" s="631"/>
      <c r="D2174" s="832"/>
      <c r="E2174" s="631"/>
      <c r="F2174" s="631"/>
      <c r="G2174" s="631"/>
      <c r="H2174" s="833"/>
      <c r="I2174" s="834"/>
      <c r="J2174" s="834"/>
      <c r="K2174" s="835"/>
      <c r="L2174" s="835"/>
      <c r="M2174" s="835"/>
      <c r="N2174" s="835"/>
      <c r="O2174" s="835"/>
      <c r="P2174" s="835"/>
      <c r="Q2174" s="540"/>
      <c r="R2174" s="540"/>
      <c r="S2174" s="540"/>
      <c r="T2174" s="540"/>
      <c r="U2174" s="540"/>
      <c r="V2174" s="540"/>
      <c r="W2174" s="540"/>
      <c r="X2174" s="540"/>
      <c r="Y2174" s="540"/>
      <c r="Z2174" s="540"/>
    </row>
    <row r="2175" spans="1:26" ht="19">
      <c r="A2175" s="631"/>
      <c r="B2175" s="631"/>
      <c r="C2175" s="631"/>
      <c r="D2175" s="832"/>
      <c r="E2175" s="631"/>
      <c r="F2175" s="631"/>
      <c r="G2175" s="631"/>
      <c r="H2175" s="833"/>
      <c r="I2175" s="834"/>
      <c r="J2175" s="834"/>
      <c r="K2175" s="835"/>
      <c r="L2175" s="835"/>
      <c r="M2175" s="835"/>
      <c r="N2175" s="835"/>
      <c r="O2175" s="835"/>
      <c r="P2175" s="835"/>
      <c r="Q2175" s="540"/>
      <c r="R2175" s="540"/>
      <c r="S2175" s="540"/>
      <c r="T2175" s="540"/>
      <c r="U2175" s="540"/>
      <c r="V2175" s="540"/>
      <c r="W2175" s="540"/>
      <c r="X2175" s="540"/>
      <c r="Y2175" s="540"/>
      <c r="Z2175" s="540"/>
    </row>
    <row r="2176" spans="1:26" ht="19">
      <c r="A2176" s="631"/>
      <c r="B2176" s="631"/>
      <c r="C2176" s="631"/>
      <c r="D2176" s="832"/>
      <c r="E2176" s="631"/>
      <c r="F2176" s="631"/>
      <c r="G2176" s="631"/>
      <c r="H2176" s="833"/>
      <c r="I2176" s="834"/>
      <c r="J2176" s="834"/>
      <c r="K2176" s="835"/>
      <c r="L2176" s="835"/>
      <c r="M2176" s="835"/>
      <c r="N2176" s="835"/>
      <c r="O2176" s="835"/>
      <c r="P2176" s="835"/>
      <c r="Q2176" s="540"/>
      <c r="R2176" s="540"/>
      <c r="S2176" s="540"/>
      <c r="T2176" s="540"/>
      <c r="U2176" s="540"/>
      <c r="V2176" s="540"/>
      <c r="W2176" s="540"/>
      <c r="X2176" s="540"/>
      <c r="Y2176" s="540"/>
      <c r="Z2176" s="540"/>
    </row>
    <row r="2177" spans="1:26" ht="19">
      <c r="A2177" s="631"/>
      <c r="B2177" s="631"/>
      <c r="C2177" s="631"/>
      <c r="D2177" s="832"/>
      <c r="E2177" s="631"/>
      <c r="F2177" s="631"/>
      <c r="G2177" s="631"/>
      <c r="H2177" s="833"/>
      <c r="I2177" s="834"/>
      <c r="J2177" s="834"/>
      <c r="K2177" s="835"/>
      <c r="L2177" s="835"/>
      <c r="M2177" s="835"/>
      <c r="N2177" s="835"/>
      <c r="O2177" s="835"/>
      <c r="P2177" s="835"/>
      <c r="Q2177" s="540"/>
      <c r="R2177" s="540"/>
      <c r="S2177" s="540"/>
      <c r="T2177" s="540"/>
      <c r="U2177" s="540"/>
      <c r="V2177" s="540"/>
      <c r="W2177" s="540"/>
      <c r="X2177" s="540"/>
      <c r="Y2177" s="540"/>
      <c r="Z2177" s="540"/>
    </row>
    <row r="2178" spans="1:26" ht="19">
      <c r="A2178" s="631"/>
      <c r="B2178" s="631"/>
      <c r="C2178" s="631"/>
      <c r="D2178" s="832"/>
      <c r="E2178" s="631"/>
      <c r="F2178" s="631"/>
      <c r="G2178" s="631"/>
      <c r="H2178" s="833"/>
      <c r="I2178" s="834"/>
      <c r="J2178" s="834"/>
      <c r="K2178" s="835"/>
      <c r="L2178" s="835"/>
      <c r="M2178" s="835"/>
      <c r="N2178" s="835"/>
      <c r="O2178" s="835"/>
      <c r="P2178" s="835"/>
      <c r="Q2178" s="540"/>
      <c r="R2178" s="540"/>
      <c r="S2178" s="540"/>
      <c r="T2178" s="540"/>
      <c r="U2178" s="540"/>
      <c r="V2178" s="540"/>
      <c r="W2178" s="540"/>
      <c r="X2178" s="540"/>
      <c r="Y2178" s="540"/>
      <c r="Z2178" s="540"/>
    </row>
    <row r="2179" spans="1:26" ht="19">
      <c r="A2179" s="631"/>
      <c r="B2179" s="631"/>
      <c r="C2179" s="631"/>
      <c r="D2179" s="832"/>
      <c r="E2179" s="631"/>
      <c r="F2179" s="631"/>
      <c r="G2179" s="631"/>
      <c r="H2179" s="833"/>
      <c r="I2179" s="834"/>
      <c r="J2179" s="834"/>
      <c r="K2179" s="835"/>
      <c r="L2179" s="835"/>
      <c r="M2179" s="835"/>
      <c r="N2179" s="835"/>
      <c r="O2179" s="835"/>
      <c r="P2179" s="835"/>
      <c r="Q2179" s="540"/>
      <c r="R2179" s="540"/>
      <c r="S2179" s="540"/>
      <c r="T2179" s="540"/>
      <c r="U2179" s="540"/>
      <c r="V2179" s="540"/>
      <c r="W2179" s="540"/>
      <c r="X2179" s="540"/>
      <c r="Y2179" s="540"/>
      <c r="Z2179" s="540"/>
    </row>
    <row r="2180" spans="1:26" ht="19">
      <c r="A2180" s="631"/>
      <c r="B2180" s="631"/>
      <c r="C2180" s="631"/>
      <c r="D2180" s="832"/>
      <c r="E2180" s="631"/>
      <c r="F2180" s="631"/>
      <c r="G2180" s="631"/>
      <c r="H2180" s="833"/>
      <c r="I2180" s="834"/>
      <c r="J2180" s="834"/>
      <c r="K2180" s="835"/>
      <c r="L2180" s="835"/>
      <c r="M2180" s="835"/>
      <c r="N2180" s="835"/>
      <c r="O2180" s="835"/>
      <c r="P2180" s="835"/>
      <c r="Q2180" s="540"/>
      <c r="R2180" s="540"/>
      <c r="S2180" s="540"/>
      <c r="T2180" s="540"/>
      <c r="U2180" s="540"/>
      <c r="V2180" s="540"/>
      <c r="W2180" s="540"/>
      <c r="X2180" s="540"/>
      <c r="Y2180" s="540"/>
      <c r="Z2180" s="540"/>
    </row>
    <row r="2181" spans="1:26" ht="19">
      <c r="A2181" s="631"/>
      <c r="B2181" s="631"/>
      <c r="C2181" s="631"/>
      <c r="D2181" s="832"/>
      <c r="E2181" s="631"/>
      <c r="F2181" s="631"/>
      <c r="G2181" s="631"/>
      <c r="H2181" s="833"/>
      <c r="I2181" s="834"/>
      <c r="J2181" s="834"/>
      <c r="K2181" s="835"/>
      <c r="L2181" s="835"/>
      <c r="M2181" s="835"/>
      <c r="N2181" s="835"/>
      <c r="O2181" s="835"/>
      <c r="P2181" s="835"/>
      <c r="Q2181" s="540"/>
      <c r="R2181" s="540"/>
      <c r="S2181" s="540"/>
      <c r="T2181" s="540"/>
      <c r="U2181" s="540"/>
      <c r="V2181" s="540"/>
      <c r="W2181" s="540"/>
      <c r="X2181" s="540"/>
      <c r="Y2181" s="540"/>
      <c r="Z2181" s="540"/>
    </row>
    <row r="2182" spans="1:26" ht="19">
      <c r="A2182" s="631"/>
      <c r="B2182" s="631"/>
      <c r="C2182" s="631"/>
      <c r="D2182" s="832"/>
      <c r="E2182" s="631"/>
      <c r="F2182" s="631"/>
      <c r="G2182" s="631"/>
      <c r="H2182" s="833"/>
      <c r="I2182" s="834"/>
      <c r="J2182" s="834"/>
      <c r="K2182" s="835"/>
      <c r="L2182" s="835"/>
      <c r="M2182" s="835"/>
      <c r="N2182" s="835"/>
      <c r="O2182" s="835"/>
      <c r="P2182" s="835"/>
      <c r="Q2182" s="540"/>
      <c r="R2182" s="540"/>
      <c r="S2182" s="540"/>
      <c r="T2182" s="540"/>
      <c r="U2182" s="540"/>
      <c r="V2182" s="540"/>
      <c r="W2182" s="540"/>
      <c r="X2182" s="540"/>
      <c r="Y2182" s="540"/>
      <c r="Z2182" s="540"/>
    </row>
    <row r="2183" spans="1:26" ht="19">
      <c r="A2183" s="631"/>
      <c r="B2183" s="631"/>
      <c r="C2183" s="631"/>
      <c r="D2183" s="832"/>
      <c r="E2183" s="631"/>
      <c r="F2183" s="631"/>
      <c r="G2183" s="631"/>
      <c r="H2183" s="833"/>
      <c r="I2183" s="834"/>
      <c r="J2183" s="834"/>
      <c r="K2183" s="835"/>
      <c r="L2183" s="835"/>
      <c r="M2183" s="835"/>
      <c r="N2183" s="835"/>
      <c r="O2183" s="835"/>
      <c r="P2183" s="835"/>
      <c r="Q2183" s="540"/>
      <c r="R2183" s="540"/>
      <c r="S2183" s="540"/>
      <c r="T2183" s="540"/>
      <c r="U2183" s="540"/>
      <c r="V2183" s="540"/>
      <c r="W2183" s="540"/>
      <c r="X2183" s="540"/>
      <c r="Y2183" s="540"/>
      <c r="Z2183" s="540"/>
    </row>
    <row r="2184" spans="1:26" ht="19">
      <c r="A2184" s="631"/>
      <c r="B2184" s="631"/>
      <c r="C2184" s="631"/>
      <c r="D2184" s="832"/>
      <c r="E2184" s="631"/>
      <c r="F2184" s="631"/>
      <c r="G2184" s="631"/>
      <c r="H2184" s="833"/>
      <c r="I2184" s="834"/>
      <c r="J2184" s="834"/>
      <c r="K2184" s="835"/>
      <c r="L2184" s="835"/>
      <c r="M2184" s="835"/>
      <c r="N2184" s="835"/>
      <c r="O2184" s="835"/>
      <c r="P2184" s="835"/>
      <c r="Q2184" s="540"/>
      <c r="R2184" s="540"/>
      <c r="S2184" s="540"/>
      <c r="T2184" s="540"/>
      <c r="U2184" s="540"/>
      <c r="V2184" s="540"/>
      <c r="W2184" s="540"/>
      <c r="X2184" s="540"/>
      <c r="Y2184" s="540"/>
      <c r="Z2184" s="540"/>
    </row>
    <row r="2185" spans="1:26" ht="19">
      <c r="A2185" s="631"/>
      <c r="B2185" s="631"/>
      <c r="C2185" s="631"/>
      <c r="D2185" s="832"/>
      <c r="E2185" s="631"/>
      <c r="F2185" s="631"/>
      <c r="G2185" s="631"/>
      <c r="H2185" s="833"/>
      <c r="I2185" s="834"/>
      <c r="J2185" s="834"/>
      <c r="K2185" s="835"/>
      <c r="L2185" s="835"/>
      <c r="M2185" s="835"/>
      <c r="N2185" s="835"/>
      <c r="O2185" s="835"/>
      <c r="P2185" s="835"/>
      <c r="Q2185" s="540"/>
      <c r="R2185" s="540"/>
      <c r="S2185" s="540"/>
      <c r="T2185" s="540"/>
      <c r="U2185" s="540"/>
      <c r="V2185" s="540"/>
      <c r="W2185" s="540"/>
      <c r="X2185" s="540"/>
      <c r="Y2185" s="540"/>
      <c r="Z2185" s="540"/>
    </row>
    <row r="2186" spans="1:26" ht="19">
      <c r="A2186" s="631"/>
      <c r="B2186" s="631"/>
      <c r="C2186" s="631"/>
      <c r="D2186" s="832"/>
      <c r="E2186" s="631"/>
      <c r="F2186" s="631"/>
      <c r="G2186" s="631"/>
      <c r="H2186" s="833"/>
      <c r="I2186" s="834"/>
      <c r="J2186" s="834"/>
      <c r="K2186" s="835"/>
      <c r="L2186" s="835"/>
      <c r="M2186" s="835"/>
      <c r="N2186" s="835"/>
      <c r="O2186" s="835"/>
      <c r="P2186" s="835"/>
      <c r="Q2186" s="540"/>
      <c r="R2186" s="540"/>
      <c r="S2186" s="540"/>
      <c r="T2186" s="540"/>
      <c r="U2186" s="540"/>
      <c r="V2186" s="540"/>
      <c r="W2186" s="540"/>
      <c r="X2186" s="540"/>
      <c r="Y2186" s="540"/>
      <c r="Z2186" s="540"/>
    </row>
    <row r="2187" spans="1:26" ht="19">
      <c r="A2187" s="631"/>
      <c r="B2187" s="631"/>
      <c r="C2187" s="631"/>
      <c r="D2187" s="832"/>
      <c r="E2187" s="631"/>
      <c r="F2187" s="631"/>
      <c r="G2187" s="631"/>
      <c r="H2187" s="833"/>
      <c r="I2187" s="834"/>
      <c r="J2187" s="834"/>
      <c r="K2187" s="835"/>
      <c r="L2187" s="835"/>
      <c r="M2187" s="835"/>
      <c r="N2187" s="835"/>
      <c r="O2187" s="835"/>
      <c r="P2187" s="835"/>
      <c r="Q2187" s="540"/>
      <c r="R2187" s="540"/>
      <c r="S2187" s="540"/>
      <c r="T2187" s="540"/>
      <c r="U2187" s="540"/>
      <c r="V2187" s="540"/>
      <c r="W2187" s="540"/>
      <c r="X2187" s="540"/>
      <c r="Y2187" s="540"/>
      <c r="Z2187" s="540"/>
    </row>
    <row r="2188" spans="1:26" ht="19">
      <c r="A2188" s="631"/>
      <c r="B2188" s="631"/>
      <c r="C2188" s="631"/>
      <c r="D2188" s="832"/>
      <c r="E2188" s="631"/>
      <c r="F2188" s="631"/>
      <c r="G2188" s="631"/>
      <c r="H2188" s="833"/>
      <c r="I2188" s="834"/>
      <c r="J2188" s="834"/>
      <c r="K2188" s="835"/>
      <c r="L2188" s="835"/>
      <c r="M2188" s="835"/>
      <c r="N2188" s="835"/>
      <c r="O2188" s="835"/>
      <c r="P2188" s="835"/>
      <c r="Q2188" s="540"/>
      <c r="R2188" s="540"/>
      <c r="S2188" s="540"/>
      <c r="T2188" s="540"/>
      <c r="U2188" s="540"/>
      <c r="V2188" s="540"/>
      <c r="W2188" s="540"/>
      <c r="X2188" s="540"/>
      <c r="Y2188" s="540"/>
      <c r="Z2188" s="540"/>
    </row>
    <row r="2189" spans="1:26" ht="19">
      <c r="A2189" s="631"/>
      <c r="B2189" s="631"/>
      <c r="C2189" s="631"/>
      <c r="D2189" s="832"/>
      <c r="E2189" s="631"/>
      <c r="F2189" s="631"/>
      <c r="G2189" s="631"/>
      <c r="H2189" s="833"/>
      <c r="I2189" s="834"/>
      <c r="J2189" s="834"/>
      <c r="K2189" s="835"/>
      <c r="L2189" s="835"/>
      <c r="M2189" s="835"/>
      <c r="N2189" s="835"/>
      <c r="O2189" s="835"/>
      <c r="P2189" s="835"/>
      <c r="Q2189" s="540"/>
      <c r="R2189" s="540"/>
      <c r="S2189" s="540"/>
      <c r="T2189" s="540"/>
      <c r="U2189" s="540"/>
      <c r="V2189" s="540"/>
      <c r="W2189" s="540"/>
      <c r="X2189" s="540"/>
      <c r="Y2189" s="540"/>
      <c r="Z2189" s="540"/>
    </row>
    <row r="2190" spans="1:26" ht="19">
      <c r="A2190" s="631"/>
      <c r="B2190" s="631"/>
      <c r="C2190" s="631"/>
      <c r="D2190" s="832"/>
      <c r="E2190" s="631"/>
      <c r="F2190" s="631"/>
      <c r="G2190" s="631"/>
      <c r="H2190" s="833"/>
      <c r="I2190" s="834"/>
      <c r="J2190" s="834"/>
      <c r="K2190" s="835"/>
      <c r="L2190" s="835"/>
      <c r="M2190" s="835"/>
      <c r="N2190" s="835"/>
      <c r="O2190" s="835"/>
      <c r="P2190" s="835"/>
      <c r="Q2190" s="540"/>
      <c r="R2190" s="540"/>
      <c r="S2190" s="540"/>
      <c r="T2190" s="540"/>
      <c r="U2190" s="540"/>
      <c r="V2190" s="540"/>
      <c r="W2190" s="540"/>
      <c r="X2190" s="540"/>
      <c r="Y2190" s="540"/>
      <c r="Z2190" s="540"/>
    </row>
    <row r="2191" spans="1:26" ht="19">
      <c r="A2191" s="631"/>
      <c r="B2191" s="631"/>
      <c r="C2191" s="631"/>
      <c r="D2191" s="832"/>
      <c r="E2191" s="631"/>
      <c r="F2191" s="631"/>
      <c r="G2191" s="631"/>
      <c r="H2191" s="833"/>
      <c r="I2191" s="834"/>
      <c r="J2191" s="834"/>
      <c r="K2191" s="835"/>
      <c r="L2191" s="835"/>
      <c r="M2191" s="835"/>
      <c r="N2191" s="835"/>
      <c r="O2191" s="835"/>
      <c r="P2191" s="835"/>
      <c r="Q2191" s="540"/>
      <c r="R2191" s="540"/>
      <c r="S2191" s="540"/>
      <c r="T2191" s="540"/>
      <c r="U2191" s="540"/>
      <c r="V2191" s="540"/>
      <c r="W2191" s="540"/>
      <c r="X2191" s="540"/>
      <c r="Y2191" s="540"/>
      <c r="Z2191" s="540"/>
    </row>
    <row r="2192" spans="1:26" ht="19">
      <c r="A2192" s="631"/>
      <c r="B2192" s="631"/>
      <c r="C2192" s="631"/>
      <c r="D2192" s="832"/>
      <c r="E2192" s="631"/>
      <c r="F2192" s="631"/>
      <c r="G2192" s="631"/>
      <c r="H2192" s="833"/>
      <c r="I2192" s="834"/>
      <c r="J2192" s="834"/>
      <c r="K2192" s="835"/>
      <c r="L2192" s="835"/>
      <c r="M2192" s="835"/>
      <c r="N2192" s="835"/>
      <c r="O2192" s="835"/>
      <c r="P2192" s="835"/>
      <c r="Q2192" s="540"/>
      <c r="R2192" s="540"/>
      <c r="S2192" s="540"/>
      <c r="T2192" s="540"/>
      <c r="U2192" s="540"/>
      <c r="V2192" s="540"/>
      <c r="W2192" s="540"/>
      <c r="X2192" s="540"/>
      <c r="Y2192" s="540"/>
      <c r="Z2192" s="540"/>
    </row>
    <row r="2193" spans="1:26" ht="19">
      <c r="A2193" s="631"/>
      <c r="B2193" s="631"/>
      <c r="C2193" s="631"/>
      <c r="D2193" s="832"/>
      <c r="E2193" s="631"/>
      <c r="F2193" s="631"/>
      <c r="G2193" s="631"/>
      <c r="H2193" s="833"/>
      <c r="I2193" s="834"/>
      <c r="J2193" s="834"/>
      <c r="K2193" s="835"/>
      <c r="L2193" s="835"/>
      <c r="M2193" s="835"/>
      <c r="N2193" s="835"/>
      <c r="O2193" s="835"/>
      <c r="P2193" s="835"/>
      <c r="Q2193" s="540"/>
      <c r="R2193" s="540"/>
      <c r="S2193" s="540"/>
      <c r="T2193" s="540"/>
      <c r="U2193" s="540"/>
      <c r="V2193" s="540"/>
      <c r="W2193" s="540"/>
      <c r="X2193" s="540"/>
      <c r="Y2193" s="540"/>
      <c r="Z2193" s="540"/>
    </row>
    <row r="2194" spans="1:26" ht="19">
      <c r="A2194" s="631"/>
      <c r="B2194" s="631"/>
      <c r="C2194" s="631"/>
      <c r="D2194" s="832"/>
      <c r="E2194" s="631"/>
      <c r="F2194" s="631"/>
      <c r="G2194" s="631"/>
      <c r="H2194" s="833"/>
      <c r="I2194" s="834"/>
      <c r="J2194" s="834"/>
      <c r="K2194" s="835"/>
      <c r="L2194" s="835"/>
      <c r="M2194" s="835"/>
      <c r="N2194" s="835"/>
      <c r="O2194" s="835"/>
      <c r="P2194" s="835"/>
      <c r="Q2194" s="540"/>
      <c r="R2194" s="540"/>
      <c r="S2194" s="540"/>
      <c r="T2194" s="540"/>
      <c r="U2194" s="540"/>
      <c r="V2194" s="540"/>
      <c r="W2194" s="540"/>
      <c r="X2194" s="540"/>
      <c r="Y2194" s="540"/>
      <c r="Z2194" s="540"/>
    </row>
    <row r="2195" spans="1:26" ht="19">
      <c r="A2195" s="631"/>
      <c r="B2195" s="631"/>
      <c r="C2195" s="631"/>
      <c r="D2195" s="832"/>
      <c r="E2195" s="631"/>
      <c r="F2195" s="631"/>
      <c r="G2195" s="631"/>
      <c r="H2195" s="833"/>
      <c r="I2195" s="834"/>
      <c r="J2195" s="834"/>
      <c r="K2195" s="835"/>
      <c r="L2195" s="835"/>
      <c r="M2195" s="835"/>
      <c r="N2195" s="835"/>
      <c r="O2195" s="835"/>
      <c r="P2195" s="835"/>
      <c r="Q2195" s="540"/>
      <c r="R2195" s="540"/>
      <c r="S2195" s="540"/>
      <c r="T2195" s="540"/>
      <c r="U2195" s="540"/>
      <c r="V2195" s="540"/>
      <c r="W2195" s="540"/>
      <c r="X2195" s="540"/>
      <c r="Y2195" s="540"/>
      <c r="Z2195" s="540"/>
    </row>
    <row r="2196" spans="1:26" ht="19">
      <c r="A2196" s="631"/>
      <c r="B2196" s="631"/>
      <c r="C2196" s="631"/>
      <c r="D2196" s="832"/>
      <c r="E2196" s="631"/>
      <c r="F2196" s="631"/>
      <c r="G2196" s="631"/>
      <c r="H2196" s="833"/>
      <c r="I2196" s="834"/>
      <c r="J2196" s="834"/>
      <c r="K2196" s="835"/>
      <c r="L2196" s="835"/>
      <c r="M2196" s="835"/>
      <c r="N2196" s="835"/>
      <c r="O2196" s="835"/>
      <c r="P2196" s="835"/>
      <c r="Q2196" s="540"/>
      <c r="R2196" s="540"/>
      <c r="S2196" s="540"/>
      <c r="T2196" s="540"/>
      <c r="U2196" s="540"/>
      <c r="V2196" s="540"/>
      <c r="W2196" s="540"/>
      <c r="X2196" s="540"/>
      <c r="Y2196" s="540"/>
      <c r="Z2196" s="540"/>
    </row>
    <row r="2197" spans="1:26" ht="19">
      <c r="A2197" s="631"/>
      <c r="B2197" s="631"/>
      <c r="C2197" s="631"/>
      <c r="D2197" s="832"/>
      <c r="E2197" s="631"/>
      <c r="F2197" s="631"/>
      <c r="G2197" s="631"/>
      <c r="H2197" s="833"/>
      <c r="I2197" s="834"/>
      <c r="J2197" s="834"/>
      <c r="K2197" s="835"/>
      <c r="L2197" s="835"/>
      <c r="M2197" s="835"/>
      <c r="N2197" s="835"/>
      <c r="O2197" s="835"/>
      <c r="P2197" s="835"/>
      <c r="Q2197" s="540"/>
      <c r="R2197" s="540"/>
      <c r="S2197" s="540"/>
      <c r="T2197" s="540"/>
      <c r="U2197" s="540"/>
      <c r="V2197" s="540"/>
      <c r="W2197" s="540"/>
      <c r="X2197" s="540"/>
      <c r="Y2197" s="540"/>
      <c r="Z2197" s="540"/>
    </row>
    <row r="2198" spans="1:26" ht="19">
      <c r="A2198" s="631"/>
      <c r="B2198" s="631"/>
      <c r="C2198" s="631"/>
      <c r="D2198" s="832"/>
      <c r="E2198" s="631"/>
      <c r="F2198" s="631"/>
      <c r="G2198" s="631"/>
      <c r="H2198" s="833"/>
      <c r="I2198" s="834"/>
      <c r="J2198" s="834"/>
      <c r="K2198" s="835"/>
      <c r="L2198" s="835"/>
      <c r="M2198" s="835"/>
      <c r="N2198" s="835"/>
      <c r="O2198" s="835"/>
      <c r="P2198" s="835"/>
      <c r="Q2198" s="540"/>
      <c r="R2198" s="540"/>
      <c r="S2198" s="540"/>
      <c r="T2198" s="540"/>
      <c r="U2198" s="540"/>
      <c r="V2198" s="540"/>
      <c r="W2198" s="540"/>
      <c r="X2198" s="540"/>
      <c r="Y2198" s="540"/>
      <c r="Z2198" s="540"/>
    </row>
    <row r="2199" spans="1:26" ht="19">
      <c r="A2199" s="631"/>
      <c r="B2199" s="631"/>
      <c r="C2199" s="631"/>
      <c r="D2199" s="832"/>
      <c r="E2199" s="631"/>
      <c r="F2199" s="631"/>
      <c r="G2199" s="631"/>
      <c r="H2199" s="833"/>
      <c r="I2199" s="834"/>
      <c r="J2199" s="834"/>
      <c r="K2199" s="835"/>
      <c r="L2199" s="835"/>
      <c r="M2199" s="835"/>
      <c r="N2199" s="835"/>
      <c r="O2199" s="835"/>
      <c r="P2199" s="835"/>
      <c r="Q2199" s="540"/>
      <c r="R2199" s="540"/>
      <c r="S2199" s="540"/>
      <c r="T2199" s="540"/>
      <c r="U2199" s="540"/>
      <c r="V2199" s="540"/>
      <c r="W2199" s="540"/>
      <c r="X2199" s="540"/>
      <c r="Y2199" s="540"/>
      <c r="Z2199" s="540"/>
    </row>
    <row r="2200" spans="1:26" ht="19">
      <c r="A2200" s="631"/>
      <c r="B2200" s="631"/>
      <c r="C2200" s="631"/>
      <c r="D2200" s="832"/>
      <c r="E2200" s="631"/>
      <c r="F2200" s="631"/>
      <c r="G2200" s="631"/>
      <c r="H2200" s="833"/>
      <c r="I2200" s="834"/>
      <c r="J2200" s="834"/>
      <c r="K2200" s="835"/>
      <c r="L2200" s="835"/>
      <c r="M2200" s="835"/>
      <c r="N2200" s="835"/>
      <c r="O2200" s="835"/>
      <c r="P2200" s="835"/>
      <c r="Q2200" s="540"/>
      <c r="R2200" s="540"/>
      <c r="S2200" s="540"/>
      <c r="T2200" s="540"/>
      <c r="U2200" s="540"/>
      <c r="V2200" s="540"/>
      <c r="W2200" s="540"/>
      <c r="X2200" s="540"/>
      <c r="Y2200" s="540"/>
      <c r="Z2200" s="540"/>
    </row>
    <row r="2201" spans="1:26" ht="19">
      <c r="A2201" s="631"/>
      <c r="B2201" s="631"/>
      <c r="C2201" s="631"/>
      <c r="D2201" s="832"/>
      <c r="E2201" s="631"/>
      <c r="F2201" s="631"/>
      <c r="G2201" s="631"/>
      <c r="H2201" s="833"/>
      <c r="I2201" s="834"/>
      <c r="J2201" s="834"/>
      <c r="K2201" s="835"/>
      <c r="L2201" s="835"/>
      <c r="M2201" s="835"/>
      <c r="N2201" s="835"/>
      <c r="O2201" s="835"/>
      <c r="P2201" s="835"/>
      <c r="Q2201" s="540"/>
      <c r="R2201" s="540"/>
      <c r="S2201" s="540"/>
      <c r="T2201" s="540"/>
      <c r="U2201" s="540"/>
      <c r="V2201" s="540"/>
      <c r="W2201" s="540"/>
      <c r="X2201" s="540"/>
      <c r="Y2201" s="540"/>
      <c r="Z2201" s="540"/>
    </row>
    <row r="2202" spans="1:26" ht="19">
      <c r="A2202" s="631"/>
      <c r="B2202" s="631"/>
      <c r="C2202" s="631"/>
      <c r="D2202" s="832"/>
      <c r="E2202" s="631"/>
      <c r="F2202" s="631"/>
      <c r="G2202" s="631"/>
      <c r="H2202" s="833"/>
      <c r="I2202" s="834"/>
      <c r="J2202" s="834"/>
      <c r="K2202" s="835"/>
      <c r="L2202" s="835"/>
      <c r="M2202" s="835"/>
      <c r="N2202" s="835"/>
      <c r="O2202" s="835"/>
      <c r="P2202" s="835"/>
      <c r="Q2202" s="540"/>
      <c r="R2202" s="540"/>
      <c r="S2202" s="540"/>
      <c r="T2202" s="540"/>
      <c r="U2202" s="540"/>
      <c r="V2202" s="540"/>
      <c r="W2202" s="540"/>
      <c r="X2202" s="540"/>
      <c r="Y2202" s="540"/>
      <c r="Z2202" s="540"/>
    </row>
    <row r="2203" spans="1:26" ht="19">
      <c r="A2203" s="631"/>
      <c r="B2203" s="631"/>
      <c r="C2203" s="631"/>
      <c r="D2203" s="832"/>
      <c r="E2203" s="631"/>
      <c r="F2203" s="631"/>
      <c r="G2203" s="631"/>
      <c r="H2203" s="833"/>
      <c r="I2203" s="834"/>
      <c r="J2203" s="834"/>
      <c r="K2203" s="835"/>
      <c r="L2203" s="835"/>
      <c r="M2203" s="835"/>
      <c r="N2203" s="835"/>
      <c r="O2203" s="835"/>
      <c r="P2203" s="835"/>
      <c r="Q2203" s="540"/>
      <c r="R2203" s="540"/>
      <c r="S2203" s="540"/>
      <c r="T2203" s="540"/>
      <c r="U2203" s="540"/>
      <c r="V2203" s="540"/>
      <c r="W2203" s="540"/>
      <c r="X2203" s="540"/>
      <c r="Y2203" s="540"/>
      <c r="Z2203" s="540"/>
    </row>
    <row r="2204" spans="1:26" ht="19">
      <c r="A2204" s="631"/>
      <c r="B2204" s="631"/>
      <c r="C2204" s="631"/>
      <c r="D2204" s="832"/>
      <c r="E2204" s="631"/>
      <c r="F2204" s="631"/>
      <c r="G2204" s="631"/>
      <c r="H2204" s="833"/>
      <c r="I2204" s="834"/>
      <c r="J2204" s="834"/>
      <c r="K2204" s="835"/>
      <c r="L2204" s="835"/>
      <c r="M2204" s="835"/>
      <c r="N2204" s="835"/>
      <c r="O2204" s="835"/>
      <c r="P2204" s="835"/>
      <c r="Q2204" s="540"/>
      <c r="R2204" s="540"/>
      <c r="S2204" s="540"/>
      <c r="T2204" s="540"/>
      <c r="U2204" s="540"/>
      <c r="V2204" s="540"/>
      <c r="W2204" s="540"/>
      <c r="X2204" s="540"/>
      <c r="Y2204" s="540"/>
      <c r="Z2204" s="540"/>
    </row>
    <row r="2205" spans="1:26" ht="19">
      <c r="A2205" s="631"/>
      <c r="B2205" s="631"/>
      <c r="C2205" s="631"/>
      <c r="D2205" s="832"/>
      <c r="E2205" s="631"/>
      <c r="F2205" s="631"/>
      <c r="G2205" s="631"/>
      <c r="H2205" s="833"/>
      <c r="I2205" s="834"/>
      <c r="J2205" s="834"/>
      <c r="K2205" s="835"/>
      <c r="L2205" s="835"/>
      <c r="M2205" s="835"/>
      <c r="N2205" s="835"/>
      <c r="O2205" s="835"/>
      <c r="P2205" s="835"/>
      <c r="Q2205" s="540"/>
      <c r="R2205" s="540"/>
      <c r="S2205" s="540"/>
      <c r="T2205" s="540"/>
      <c r="U2205" s="540"/>
      <c r="V2205" s="540"/>
      <c r="W2205" s="540"/>
      <c r="X2205" s="540"/>
      <c r="Y2205" s="540"/>
      <c r="Z2205" s="540"/>
    </row>
    <row r="2206" spans="1:26" ht="19">
      <c r="A2206" s="631"/>
      <c r="B2206" s="631"/>
      <c r="C2206" s="631"/>
      <c r="D2206" s="832"/>
      <c r="E2206" s="631"/>
      <c r="F2206" s="631"/>
      <c r="G2206" s="631"/>
      <c r="H2206" s="833"/>
      <c r="I2206" s="834"/>
      <c r="J2206" s="834"/>
      <c r="K2206" s="835"/>
      <c r="L2206" s="835"/>
      <c r="M2206" s="835"/>
      <c r="N2206" s="835"/>
      <c r="O2206" s="835"/>
      <c r="P2206" s="835"/>
      <c r="Q2206" s="540"/>
      <c r="R2206" s="540"/>
      <c r="S2206" s="540"/>
      <c r="T2206" s="540"/>
      <c r="U2206" s="540"/>
      <c r="V2206" s="540"/>
      <c r="W2206" s="540"/>
      <c r="X2206" s="540"/>
      <c r="Y2206" s="540"/>
      <c r="Z2206" s="540"/>
    </row>
    <row r="2207" spans="1:26" ht="19">
      <c r="A2207" s="631"/>
      <c r="B2207" s="631"/>
      <c r="C2207" s="631"/>
      <c r="D2207" s="832"/>
      <c r="E2207" s="631"/>
      <c r="F2207" s="631"/>
      <c r="G2207" s="631"/>
      <c r="H2207" s="833"/>
      <c r="I2207" s="834"/>
      <c r="J2207" s="834"/>
      <c r="K2207" s="835"/>
      <c r="L2207" s="835"/>
      <c r="M2207" s="835"/>
      <c r="N2207" s="835"/>
      <c r="O2207" s="835"/>
      <c r="P2207" s="835"/>
      <c r="Q2207" s="540"/>
      <c r="R2207" s="540"/>
      <c r="S2207" s="540"/>
      <c r="T2207" s="540"/>
      <c r="U2207" s="540"/>
      <c r="V2207" s="540"/>
      <c r="W2207" s="540"/>
      <c r="X2207" s="540"/>
      <c r="Y2207" s="540"/>
      <c r="Z2207" s="540"/>
    </row>
    <row r="2208" spans="1:26" ht="19">
      <c r="A2208" s="631"/>
      <c r="B2208" s="631"/>
      <c r="C2208" s="631"/>
      <c r="D2208" s="832"/>
      <c r="E2208" s="631"/>
      <c r="F2208" s="631"/>
      <c r="G2208" s="631"/>
      <c r="H2208" s="833"/>
      <c r="I2208" s="834"/>
      <c r="J2208" s="834"/>
      <c r="K2208" s="835"/>
      <c r="L2208" s="835"/>
      <c r="M2208" s="835"/>
      <c r="N2208" s="835"/>
      <c r="O2208" s="835"/>
      <c r="P2208" s="835"/>
      <c r="Q2208" s="540"/>
      <c r="R2208" s="540"/>
      <c r="S2208" s="540"/>
      <c r="T2208" s="540"/>
      <c r="U2208" s="540"/>
      <c r="V2208" s="540"/>
      <c r="W2208" s="540"/>
      <c r="X2208" s="540"/>
      <c r="Y2208" s="540"/>
      <c r="Z2208" s="540"/>
    </row>
    <row r="2209" spans="1:26" ht="19">
      <c r="A2209" s="631"/>
      <c r="B2209" s="631"/>
      <c r="C2209" s="631"/>
      <c r="D2209" s="832"/>
      <c r="E2209" s="631"/>
      <c r="F2209" s="631"/>
      <c r="G2209" s="631"/>
      <c r="H2209" s="833"/>
      <c r="I2209" s="834"/>
      <c r="J2209" s="834"/>
      <c r="K2209" s="835"/>
      <c r="L2209" s="835"/>
      <c r="M2209" s="835"/>
      <c r="N2209" s="835"/>
      <c r="O2209" s="835"/>
      <c r="P2209" s="835"/>
      <c r="Q2209" s="540"/>
      <c r="R2209" s="540"/>
      <c r="S2209" s="540"/>
      <c r="T2209" s="540"/>
      <c r="U2209" s="540"/>
      <c r="V2209" s="540"/>
      <c r="W2209" s="540"/>
      <c r="X2209" s="540"/>
      <c r="Y2209" s="540"/>
      <c r="Z2209" s="540"/>
    </row>
    <row r="2210" spans="1:26" ht="19">
      <c r="A2210" s="631"/>
      <c r="B2210" s="631"/>
      <c r="C2210" s="631"/>
      <c r="D2210" s="832"/>
      <c r="E2210" s="631"/>
      <c r="F2210" s="631"/>
      <c r="G2210" s="631"/>
      <c r="H2210" s="833"/>
      <c r="I2210" s="834"/>
      <c r="J2210" s="834"/>
      <c r="K2210" s="835"/>
      <c r="L2210" s="835"/>
      <c r="M2210" s="835"/>
      <c r="N2210" s="835"/>
      <c r="O2210" s="835"/>
      <c r="P2210" s="835"/>
      <c r="Q2210" s="540"/>
      <c r="R2210" s="540"/>
      <c r="S2210" s="540"/>
      <c r="T2210" s="540"/>
      <c r="U2210" s="540"/>
      <c r="V2210" s="540"/>
      <c r="W2210" s="540"/>
      <c r="X2210" s="540"/>
      <c r="Y2210" s="540"/>
      <c r="Z2210" s="540"/>
    </row>
    <row r="2211" spans="1:26" ht="19">
      <c r="A2211" s="631"/>
      <c r="B2211" s="631"/>
      <c r="C2211" s="631"/>
      <c r="D2211" s="832"/>
      <c r="E2211" s="631"/>
      <c r="F2211" s="631"/>
      <c r="G2211" s="631"/>
      <c r="H2211" s="833"/>
      <c r="I2211" s="834"/>
      <c r="J2211" s="834"/>
      <c r="K2211" s="835"/>
      <c r="L2211" s="835"/>
      <c r="M2211" s="835"/>
      <c r="N2211" s="835"/>
      <c r="O2211" s="835"/>
      <c r="P2211" s="835"/>
      <c r="Q2211" s="540"/>
      <c r="R2211" s="540"/>
      <c r="S2211" s="540"/>
      <c r="T2211" s="540"/>
      <c r="U2211" s="540"/>
      <c r="V2211" s="540"/>
      <c r="W2211" s="540"/>
      <c r="X2211" s="540"/>
      <c r="Y2211" s="540"/>
      <c r="Z2211" s="540"/>
    </row>
    <row r="2212" spans="1:26" ht="19">
      <c r="A2212" s="631"/>
      <c r="B2212" s="631"/>
      <c r="C2212" s="631"/>
      <c r="D2212" s="832"/>
      <c r="E2212" s="631"/>
      <c r="F2212" s="631"/>
      <c r="G2212" s="631"/>
      <c r="H2212" s="833"/>
      <c r="I2212" s="834"/>
      <c r="J2212" s="834"/>
      <c r="K2212" s="835"/>
      <c r="L2212" s="835"/>
      <c r="M2212" s="835"/>
      <c r="N2212" s="835"/>
      <c r="O2212" s="835"/>
      <c r="P2212" s="835"/>
      <c r="Q2212" s="540"/>
      <c r="R2212" s="540"/>
      <c r="S2212" s="540"/>
      <c r="T2212" s="540"/>
      <c r="U2212" s="540"/>
      <c r="V2212" s="540"/>
      <c r="W2212" s="540"/>
      <c r="X2212" s="540"/>
      <c r="Y2212" s="540"/>
      <c r="Z2212" s="540"/>
    </row>
    <row r="2213" spans="1:26" ht="19">
      <c r="A2213" s="631"/>
      <c r="B2213" s="631"/>
      <c r="C2213" s="631"/>
      <c r="D2213" s="832"/>
      <c r="E2213" s="631"/>
      <c r="F2213" s="631"/>
      <c r="G2213" s="631"/>
      <c r="H2213" s="833"/>
      <c r="I2213" s="834"/>
      <c r="J2213" s="834"/>
      <c r="K2213" s="835"/>
      <c r="L2213" s="835"/>
      <c r="M2213" s="835"/>
      <c r="N2213" s="835"/>
      <c r="O2213" s="835"/>
      <c r="P2213" s="835"/>
      <c r="Q2213" s="540"/>
      <c r="R2213" s="540"/>
      <c r="S2213" s="540"/>
      <c r="T2213" s="540"/>
      <c r="U2213" s="540"/>
      <c r="V2213" s="540"/>
      <c r="W2213" s="540"/>
      <c r="X2213" s="540"/>
      <c r="Y2213" s="540"/>
      <c r="Z2213" s="540"/>
    </row>
    <row r="2214" spans="1:26" ht="19">
      <c r="A2214" s="631"/>
      <c r="B2214" s="631"/>
      <c r="C2214" s="631"/>
      <c r="D2214" s="832"/>
      <c r="E2214" s="631"/>
      <c r="F2214" s="631"/>
      <c r="G2214" s="631"/>
      <c r="H2214" s="833"/>
      <c r="I2214" s="834"/>
      <c r="J2214" s="834"/>
      <c r="K2214" s="835"/>
      <c r="L2214" s="835"/>
      <c r="M2214" s="835"/>
      <c r="N2214" s="835"/>
      <c r="O2214" s="835"/>
      <c r="P2214" s="835"/>
      <c r="Q2214" s="540"/>
      <c r="R2214" s="540"/>
      <c r="S2214" s="540"/>
      <c r="T2214" s="540"/>
      <c r="U2214" s="540"/>
      <c r="V2214" s="540"/>
      <c r="W2214" s="540"/>
      <c r="X2214" s="540"/>
      <c r="Y2214" s="540"/>
      <c r="Z2214" s="540"/>
    </row>
    <row r="2215" spans="1:26" ht="19">
      <c r="A2215" s="631"/>
      <c r="B2215" s="631"/>
      <c r="C2215" s="631"/>
      <c r="D2215" s="832"/>
      <c r="E2215" s="631"/>
      <c r="F2215" s="631"/>
      <c r="G2215" s="631"/>
      <c r="H2215" s="833"/>
      <c r="I2215" s="834"/>
      <c r="J2215" s="834"/>
      <c r="K2215" s="835"/>
      <c r="L2215" s="835"/>
      <c r="M2215" s="835"/>
      <c r="N2215" s="835"/>
      <c r="O2215" s="835"/>
      <c r="P2215" s="835"/>
      <c r="Q2215" s="540"/>
      <c r="R2215" s="540"/>
      <c r="S2215" s="540"/>
      <c r="T2215" s="540"/>
      <c r="U2215" s="540"/>
      <c r="V2215" s="540"/>
      <c r="W2215" s="540"/>
      <c r="X2215" s="540"/>
      <c r="Y2215" s="540"/>
      <c r="Z2215" s="540"/>
    </row>
    <row r="2216" spans="1:26" ht="19">
      <c r="A2216" s="631"/>
      <c r="B2216" s="631"/>
      <c r="C2216" s="631"/>
      <c r="D2216" s="832"/>
      <c r="E2216" s="631"/>
      <c r="F2216" s="631"/>
      <c r="G2216" s="631"/>
      <c r="H2216" s="833"/>
      <c r="I2216" s="834"/>
      <c r="J2216" s="834"/>
      <c r="K2216" s="835"/>
      <c r="L2216" s="835"/>
      <c r="M2216" s="835"/>
      <c r="N2216" s="835"/>
      <c r="O2216" s="835"/>
      <c r="P2216" s="835"/>
      <c r="Q2216" s="540"/>
      <c r="R2216" s="540"/>
      <c r="S2216" s="540"/>
      <c r="T2216" s="540"/>
      <c r="U2216" s="540"/>
      <c r="V2216" s="540"/>
      <c r="W2216" s="540"/>
      <c r="X2216" s="540"/>
      <c r="Y2216" s="540"/>
      <c r="Z2216" s="540"/>
    </row>
    <row r="2217" spans="1:26" ht="19">
      <c r="A2217" s="631"/>
      <c r="B2217" s="631"/>
      <c r="C2217" s="631"/>
      <c r="D2217" s="832"/>
      <c r="E2217" s="631"/>
      <c r="F2217" s="631"/>
      <c r="G2217" s="631"/>
      <c r="H2217" s="833"/>
      <c r="I2217" s="834"/>
      <c r="J2217" s="834"/>
      <c r="K2217" s="835"/>
      <c r="L2217" s="835"/>
      <c r="M2217" s="835"/>
      <c r="N2217" s="835"/>
      <c r="O2217" s="835"/>
      <c r="P2217" s="835"/>
      <c r="Q2217" s="540"/>
      <c r="R2217" s="540"/>
      <c r="S2217" s="540"/>
      <c r="T2217" s="540"/>
      <c r="U2217" s="540"/>
      <c r="V2217" s="540"/>
      <c r="W2217" s="540"/>
      <c r="X2217" s="540"/>
      <c r="Y2217" s="540"/>
      <c r="Z2217" s="540"/>
    </row>
    <row r="2218" spans="1:26" ht="19">
      <c r="A2218" s="631"/>
      <c r="B2218" s="631"/>
      <c r="C2218" s="631"/>
      <c r="D2218" s="832"/>
      <c r="E2218" s="631"/>
      <c r="F2218" s="631"/>
      <c r="G2218" s="631"/>
      <c r="H2218" s="833"/>
      <c r="I2218" s="834"/>
      <c r="J2218" s="834"/>
      <c r="K2218" s="835"/>
      <c r="L2218" s="835"/>
      <c r="M2218" s="835"/>
      <c r="N2218" s="835"/>
      <c r="O2218" s="835"/>
      <c r="P2218" s="835"/>
      <c r="Q2218" s="540"/>
      <c r="R2218" s="540"/>
      <c r="S2218" s="540"/>
      <c r="T2218" s="540"/>
      <c r="U2218" s="540"/>
      <c r="V2218" s="540"/>
      <c r="W2218" s="540"/>
      <c r="X2218" s="540"/>
      <c r="Y2218" s="540"/>
      <c r="Z2218" s="540"/>
    </row>
    <row r="2219" spans="1:26" ht="19">
      <c r="A2219" s="631"/>
      <c r="B2219" s="631"/>
      <c r="C2219" s="631"/>
      <c r="D2219" s="832"/>
      <c r="E2219" s="631"/>
      <c r="F2219" s="631"/>
      <c r="G2219" s="631"/>
      <c r="H2219" s="833"/>
      <c r="I2219" s="834"/>
      <c r="J2219" s="834"/>
      <c r="K2219" s="835"/>
      <c r="L2219" s="835"/>
      <c r="M2219" s="835"/>
      <c r="N2219" s="835"/>
      <c r="O2219" s="835"/>
      <c r="P2219" s="835"/>
      <c r="Q2219" s="540"/>
      <c r="R2219" s="540"/>
      <c r="S2219" s="540"/>
      <c r="T2219" s="540"/>
      <c r="U2219" s="540"/>
      <c r="V2219" s="540"/>
      <c r="W2219" s="540"/>
      <c r="X2219" s="540"/>
      <c r="Y2219" s="540"/>
      <c r="Z2219" s="540"/>
    </row>
    <row r="2220" spans="1:26" ht="19">
      <c r="A2220" s="631"/>
      <c r="B2220" s="631"/>
      <c r="C2220" s="631"/>
      <c r="D2220" s="832"/>
      <c r="E2220" s="631"/>
      <c r="F2220" s="631"/>
      <c r="G2220" s="631"/>
      <c r="H2220" s="833"/>
      <c r="I2220" s="834"/>
      <c r="J2220" s="834"/>
      <c r="K2220" s="835"/>
      <c r="L2220" s="835"/>
      <c r="M2220" s="835"/>
      <c r="N2220" s="835"/>
      <c r="O2220" s="835"/>
      <c r="P2220" s="835"/>
      <c r="Q2220" s="540"/>
      <c r="R2220" s="540"/>
      <c r="S2220" s="540"/>
      <c r="T2220" s="540"/>
      <c r="U2220" s="540"/>
      <c r="V2220" s="540"/>
      <c r="W2220" s="540"/>
      <c r="X2220" s="540"/>
      <c r="Y2220" s="540"/>
      <c r="Z2220" s="540"/>
    </row>
    <row r="2221" spans="1:26" ht="19">
      <c r="A2221" s="631"/>
      <c r="B2221" s="631"/>
      <c r="C2221" s="631"/>
      <c r="D2221" s="832"/>
      <c r="E2221" s="631"/>
      <c r="F2221" s="631"/>
      <c r="G2221" s="631"/>
      <c r="H2221" s="833"/>
      <c r="I2221" s="834"/>
      <c r="J2221" s="834"/>
      <c r="K2221" s="835"/>
      <c r="L2221" s="835"/>
      <c r="M2221" s="835"/>
      <c r="N2221" s="835"/>
      <c r="O2221" s="835"/>
      <c r="P2221" s="835"/>
      <c r="Q2221" s="540"/>
      <c r="R2221" s="540"/>
      <c r="S2221" s="540"/>
      <c r="T2221" s="540"/>
      <c r="U2221" s="540"/>
      <c r="V2221" s="540"/>
      <c r="W2221" s="540"/>
      <c r="X2221" s="540"/>
      <c r="Y2221" s="540"/>
      <c r="Z2221" s="540"/>
    </row>
    <row r="2222" spans="1:26" ht="19">
      <c r="A2222" s="631"/>
      <c r="B2222" s="631"/>
      <c r="C2222" s="631"/>
      <c r="D2222" s="832"/>
      <c r="E2222" s="631"/>
      <c r="F2222" s="631"/>
      <c r="G2222" s="631"/>
      <c r="H2222" s="833"/>
      <c r="I2222" s="834"/>
      <c r="J2222" s="834"/>
      <c r="K2222" s="835"/>
      <c r="L2222" s="835"/>
      <c r="M2222" s="835"/>
      <c r="N2222" s="835"/>
      <c r="O2222" s="835"/>
      <c r="P2222" s="835"/>
      <c r="Q2222" s="540"/>
      <c r="R2222" s="540"/>
      <c r="S2222" s="540"/>
      <c r="T2222" s="540"/>
      <c r="U2222" s="540"/>
      <c r="V2222" s="540"/>
      <c r="W2222" s="540"/>
      <c r="X2222" s="540"/>
      <c r="Y2222" s="540"/>
      <c r="Z2222" s="540"/>
    </row>
    <row r="2223" spans="1:26" ht="19">
      <c r="A2223" s="631"/>
      <c r="B2223" s="631"/>
      <c r="C2223" s="631"/>
      <c r="D2223" s="832"/>
      <c r="E2223" s="631"/>
      <c r="F2223" s="631"/>
      <c r="G2223" s="631"/>
      <c r="H2223" s="833"/>
      <c r="I2223" s="834"/>
      <c r="J2223" s="834"/>
      <c r="K2223" s="835"/>
      <c r="L2223" s="835"/>
      <c r="M2223" s="835"/>
      <c r="N2223" s="835"/>
      <c r="O2223" s="835"/>
      <c r="P2223" s="835"/>
      <c r="Q2223" s="540"/>
      <c r="R2223" s="540"/>
      <c r="S2223" s="540"/>
      <c r="T2223" s="540"/>
      <c r="U2223" s="540"/>
      <c r="V2223" s="540"/>
      <c r="W2223" s="540"/>
      <c r="X2223" s="540"/>
      <c r="Y2223" s="540"/>
      <c r="Z2223" s="540"/>
    </row>
    <row r="2224" spans="1:26" ht="19">
      <c r="A2224" s="631"/>
      <c r="B2224" s="631"/>
      <c r="C2224" s="631"/>
      <c r="D2224" s="832"/>
      <c r="E2224" s="631"/>
      <c r="F2224" s="631"/>
      <c r="G2224" s="631"/>
      <c r="H2224" s="833"/>
      <c r="I2224" s="834"/>
      <c r="J2224" s="834"/>
      <c r="K2224" s="835"/>
      <c r="L2224" s="835"/>
      <c r="M2224" s="835"/>
      <c r="N2224" s="835"/>
      <c r="O2224" s="835"/>
      <c r="P2224" s="835"/>
      <c r="Q2224" s="540"/>
      <c r="R2224" s="540"/>
      <c r="S2224" s="540"/>
      <c r="T2224" s="540"/>
      <c r="U2224" s="540"/>
      <c r="V2224" s="540"/>
      <c r="W2224" s="540"/>
      <c r="X2224" s="540"/>
      <c r="Y2224" s="540"/>
      <c r="Z2224" s="540"/>
    </row>
    <row r="2225" spans="1:26" ht="19">
      <c r="A2225" s="631"/>
      <c r="B2225" s="631"/>
      <c r="C2225" s="631"/>
      <c r="D2225" s="832"/>
      <c r="E2225" s="631"/>
      <c r="F2225" s="631"/>
      <c r="G2225" s="631"/>
      <c r="H2225" s="833"/>
      <c r="I2225" s="834"/>
      <c r="J2225" s="834"/>
      <c r="K2225" s="835"/>
      <c r="L2225" s="835"/>
      <c r="M2225" s="835"/>
      <c r="N2225" s="835"/>
      <c r="O2225" s="835"/>
      <c r="P2225" s="835"/>
      <c r="Q2225" s="540"/>
      <c r="R2225" s="540"/>
      <c r="S2225" s="540"/>
      <c r="T2225" s="540"/>
      <c r="U2225" s="540"/>
      <c r="V2225" s="540"/>
      <c r="W2225" s="540"/>
      <c r="X2225" s="540"/>
      <c r="Y2225" s="540"/>
      <c r="Z2225" s="540"/>
    </row>
    <row r="2226" spans="1:26" ht="19">
      <c r="A2226" s="631"/>
      <c r="B2226" s="631"/>
      <c r="C2226" s="631"/>
      <c r="D2226" s="832"/>
      <c r="E2226" s="631"/>
      <c r="F2226" s="631"/>
      <c r="G2226" s="631"/>
      <c r="H2226" s="833"/>
      <c r="I2226" s="834"/>
      <c r="J2226" s="834"/>
      <c r="K2226" s="835"/>
      <c r="L2226" s="835"/>
      <c r="M2226" s="835"/>
      <c r="N2226" s="835"/>
      <c r="O2226" s="835"/>
      <c r="P2226" s="835"/>
      <c r="Q2226" s="540"/>
      <c r="R2226" s="540"/>
      <c r="S2226" s="540"/>
      <c r="T2226" s="540"/>
      <c r="U2226" s="540"/>
      <c r="V2226" s="540"/>
      <c r="W2226" s="540"/>
      <c r="X2226" s="540"/>
      <c r="Y2226" s="540"/>
      <c r="Z2226" s="540"/>
    </row>
    <row r="2227" spans="1:26" ht="19">
      <c r="A2227" s="631"/>
      <c r="B2227" s="631"/>
      <c r="C2227" s="631"/>
      <c r="D2227" s="832"/>
      <c r="E2227" s="631"/>
      <c r="F2227" s="631"/>
      <c r="G2227" s="631"/>
      <c r="H2227" s="833"/>
      <c r="I2227" s="834"/>
      <c r="J2227" s="834"/>
      <c r="K2227" s="835"/>
      <c r="L2227" s="835"/>
      <c r="M2227" s="835"/>
      <c r="N2227" s="835"/>
      <c r="O2227" s="835"/>
      <c r="P2227" s="835"/>
      <c r="Q2227" s="540"/>
      <c r="R2227" s="540"/>
      <c r="S2227" s="540"/>
      <c r="T2227" s="540"/>
      <c r="U2227" s="540"/>
      <c r="V2227" s="540"/>
      <c r="W2227" s="540"/>
      <c r="X2227" s="540"/>
      <c r="Y2227" s="540"/>
      <c r="Z2227" s="540"/>
    </row>
    <row r="2228" spans="1:26" ht="19">
      <c r="A2228" s="631"/>
      <c r="B2228" s="631"/>
      <c r="C2228" s="631"/>
      <c r="D2228" s="832"/>
      <c r="E2228" s="631"/>
      <c r="F2228" s="631"/>
      <c r="G2228" s="631"/>
      <c r="H2228" s="833"/>
      <c r="I2228" s="834"/>
      <c r="J2228" s="834"/>
      <c r="K2228" s="835"/>
      <c r="L2228" s="835"/>
      <c r="M2228" s="835"/>
      <c r="N2228" s="835"/>
      <c r="O2228" s="835"/>
      <c r="P2228" s="835"/>
      <c r="Q2228" s="540"/>
      <c r="R2228" s="540"/>
      <c r="S2228" s="540"/>
      <c r="T2228" s="540"/>
      <c r="U2228" s="540"/>
      <c r="V2228" s="540"/>
      <c r="W2228" s="540"/>
      <c r="X2228" s="540"/>
      <c r="Y2228" s="540"/>
      <c r="Z2228" s="540"/>
    </row>
    <row r="2229" spans="1:26" ht="19">
      <c r="A2229" s="631"/>
      <c r="B2229" s="631"/>
      <c r="C2229" s="631"/>
      <c r="D2229" s="832"/>
      <c r="E2229" s="631"/>
      <c r="F2229" s="631"/>
      <c r="G2229" s="631"/>
      <c r="H2229" s="833"/>
      <c r="I2229" s="834"/>
      <c r="J2229" s="834"/>
      <c r="K2229" s="835"/>
      <c r="L2229" s="835"/>
      <c r="M2229" s="835"/>
      <c r="N2229" s="835"/>
      <c r="O2229" s="835"/>
      <c r="P2229" s="835"/>
      <c r="Q2229" s="540"/>
      <c r="R2229" s="540"/>
      <c r="S2229" s="540"/>
      <c r="T2229" s="540"/>
      <c r="U2229" s="540"/>
      <c r="V2229" s="540"/>
      <c r="W2229" s="540"/>
      <c r="X2229" s="540"/>
      <c r="Y2229" s="540"/>
      <c r="Z2229" s="540"/>
    </row>
    <row r="2230" spans="1:26" ht="19">
      <c r="A2230" s="631"/>
      <c r="B2230" s="631"/>
      <c r="C2230" s="631"/>
      <c r="D2230" s="832"/>
      <c r="E2230" s="631"/>
      <c r="F2230" s="631"/>
      <c r="G2230" s="631"/>
      <c r="H2230" s="833"/>
      <c r="I2230" s="834"/>
      <c r="J2230" s="834"/>
      <c r="K2230" s="835"/>
      <c r="L2230" s="835"/>
      <c r="M2230" s="835"/>
      <c r="N2230" s="835"/>
      <c r="O2230" s="835"/>
      <c r="P2230" s="835"/>
      <c r="Q2230" s="540"/>
      <c r="R2230" s="540"/>
      <c r="S2230" s="540"/>
      <c r="T2230" s="540"/>
      <c r="U2230" s="540"/>
      <c r="V2230" s="540"/>
      <c r="W2230" s="540"/>
      <c r="X2230" s="540"/>
      <c r="Y2230" s="540"/>
      <c r="Z2230" s="540"/>
    </row>
    <row r="2231" spans="1:26" ht="19">
      <c r="A2231" s="631"/>
      <c r="B2231" s="631"/>
      <c r="C2231" s="631"/>
      <c r="D2231" s="832"/>
      <c r="E2231" s="631"/>
      <c r="F2231" s="631"/>
      <c r="G2231" s="631"/>
      <c r="H2231" s="833"/>
      <c r="I2231" s="834"/>
      <c r="J2231" s="834"/>
      <c r="K2231" s="835"/>
      <c r="L2231" s="835"/>
      <c r="M2231" s="835"/>
      <c r="N2231" s="835"/>
      <c r="O2231" s="835"/>
      <c r="P2231" s="835"/>
      <c r="Q2231" s="540"/>
      <c r="R2231" s="540"/>
      <c r="S2231" s="540"/>
      <c r="T2231" s="540"/>
      <c r="U2231" s="540"/>
      <c r="V2231" s="540"/>
      <c r="W2231" s="540"/>
      <c r="X2231" s="540"/>
      <c r="Y2231" s="540"/>
      <c r="Z2231" s="540"/>
    </row>
    <row r="2232" spans="1:26" ht="19">
      <c r="A2232" s="631"/>
      <c r="B2232" s="631"/>
      <c r="C2232" s="631"/>
      <c r="D2232" s="832"/>
      <c r="E2232" s="631"/>
      <c r="F2232" s="631"/>
      <c r="G2232" s="631"/>
      <c r="H2232" s="833"/>
      <c r="I2232" s="834"/>
      <c r="J2232" s="834"/>
      <c r="K2232" s="835"/>
      <c r="L2232" s="835"/>
      <c r="M2232" s="835"/>
      <c r="N2232" s="835"/>
      <c r="O2232" s="835"/>
      <c r="P2232" s="835"/>
      <c r="Q2232" s="540"/>
      <c r="R2232" s="540"/>
      <c r="S2232" s="540"/>
      <c r="T2232" s="540"/>
      <c r="U2232" s="540"/>
      <c r="V2232" s="540"/>
      <c r="W2232" s="540"/>
      <c r="X2232" s="540"/>
      <c r="Y2232" s="540"/>
      <c r="Z2232" s="540"/>
    </row>
    <row r="2233" spans="1:26" ht="19">
      <c r="A2233" s="631"/>
      <c r="B2233" s="631"/>
      <c r="C2233" s="631"/>
      <c r="D2233" s="832"/>
      <c r="E2233" s="631"/>
      <c r="F2233" s="631"/>
      <c r="G2233" s="631"/>
      <c r="H2233" s="833"/>
      <c r="I2233" s="834"/>
      <c r="J2233" s="834"/>
      <c r="K2233" s="835"/>
      <c r="L2233" s="835"/>
      <c r="M2233" s="835"/>
      <c r="N2233" s="835"/>
      <c r="O2233" s="835"/>
      <c r="P2233" s="835"/>
      <c r="Q2233" s="540"/>
      <c r="R2233" s="540"/>
      <c r="S2233" s="540"/>
      <c r="T2233" s="540"/>
      <c r="U2233" s="540"/>
      <c r="V2233" s="540"/>
      <c r="W2233" s="540"/>
      <c r="X2233" s="540"/>
      <c r="Y2233" s="540"/>
      <c r="Z2233" s="540"/>
    </row>
    <row r="2234" spans="1:26" ht="19">
      <c r="A2234" s="631"/>
      <c r="B2234" s="631"/>
      <c r="C2234" s="631"/>
      <c r="D2234" s="832"/>
      <c r="E2234" s="631"/>
      <c r="F2234" s="631"/>
      <c r="G2234" s="631"/>
      <c r="H2234" s="833"/>
      <c r="I2234" s="834"/>
      <c r="J2234" s="834"/>
      <c r="K2234" s="835"/>
      <c r="L2234" s="835"/>
      <c r="M2234" s="835"/>
      <c r="N2234" s="835"/>
      <c r="O2234" s="835"/>
      <c r="P2234" s="835"/>
      <c r="Q2234" s="540"/>
      <c r="R2234" s="540"/>
      <c r="S2234" s="540"/>
      <c r="T2234" s="540"/>
      <c r="U2234" s="540"/>
      <c r="V2234" s="540"/>
      <c r="W2234" s="540"/>
      <c r="X2234" s="540"/>
      <c r="Y2234" s="540"/>
      <c r="Z2234" s="540"/>
    </row>
    <row r="2235" spans="1:26" ht="19">
      <c r="A2235" s="631"/>
      <c r="B2235" s="631"/>
      <c r="C2235" s="631"/>
      <c r="D2235" s="832"/>
      <c r="E2235" s="631"/>
      <c r="F2235" s="631"/>
      <c r="G2235" s="631"/>
      <c r="H2235" s="833"/>
      <c r="I2235" s="834"/>
      <c r="J2235" s="834"/>
      <c r="K2235" s="835"/>
      <c r="L2235" s="835"/>
      <c r="M2235" s="835"/>
      <c r="N2235" s="835"/>
      <c r="O2235" s="835"/>
      <c r="P2235" s="835"/>
      <c r="Q2235" s="540"/>
      <c r="R2235" s="540"/>
      <c r="S2235" s="540"/>
      <c r="T2235" s="540"/>
      <c r="U2235" s="540"/>
      <c r="V2235" s="540"/>
      <c r="W2235" s="540"/>
      <c r="X2235" s="540"/>
      <c r="Y2235" s="540"/>
      <c r="Z2235" s="540"/>
    </row>
    <row r="2236" spans="1:26" ht="19">
      <c r="A2236" s="631"/>
      <c r="B2236" s="631"/>
      <c r="C2236" s="631"/>
      <c r="D2236" s="832"/>
      <c r="E2236" s="631"/>
      <c r="F2236" s="631"/>
      <c r="G2236" s="631"/>
      <c r="H2236" s="833"/>
      <c r="I2236" s="834"/>
      <c r="J2236" s="834"/>
      <c r="K2236" s="835"/>
      <c r="L2236" s="835"/>
      <c r="M2236" s="835"/>
      <c r="N2236" s="835"/>
      <c r="O2236" s="835"/>
      <c r="P2236" s="835"/>
      <c r="Q2236" s="540"/>
      <c r="R2236" s="540"/>
      <c r="S2236" s="540"/>
      <c r="T2236" s="540"/>
      <c r="U2236" s="540"/>
      <c r="V2236" s="540"/>
      <c r="W2236" s="540"/>
      <c r="X2236" s="540"/>
      <c r="Y2236" s="540"/>
      <c r="Z2236" s="540"/>
    </row>
    <row r="2237" spans="1:26" ht="19">
      <c r="A2237" s="631"/>
      <c r="B2237" s="631"/>
      <c r="C2237" s="631"/>
      <c r="D2237" s="832"/>
      <c r="E2237" s="631"/>
      <c r="F2237" s="631"/>
      <c r="G2237" s="631"/>
      <c r="H2237" s="833"/>
      <c r="I2237" s="834"/>
      <c r="J2237" s="834"/>
      <c r="K2237" s="835"/>
      <c r="L2237" s="835"/>
      <c r="M2237" s="835"/>
      <c r="N2237" s="835"/>
      <c r="O2237" s="835"/>
      <c r="P2237" s="835"/>
      <c r="Q2237" s="540"/>
      <c r="R2237" s="540"/>
      <c r="S2237" s="540"/>
      <c r="T2237" s="540"/>
      <c r="U2237" s="540"/>
      <c r="V2237" s="540"/>
      <c r="W2237" s="540"/>
      <c r="X2237" s="540"/>
      <c r="Y2237" s="540"/>
      <c r="Z2237" s="540"/>
    </row>
    <row r="2238" spans="1:26" ht="19">
      <c r="A2238" s="631"/>
      <c r="B2238" s="631"/>
      <c r="C2238" s="631"/>
      <c r="D2238" s="832"/>
      <c r="E2238" s="631"/>
      <c r="F2238" s="631"/>
      <c r="G2238" s="631"/>
      <c r="H2238" s="833"/>
      <c r="I2238" s="834"/>
      <c r="J2238" s="834"/>
      <c r="K2238" s="835"/>
      <c r="L2238" s="835"/>
      <c r="M2238" s="835"/>
      <c r="N2238" s="835"/>
      <c r="O2238" s="835"/>
      <c r="P2238" s="835"/>
      <c r="Q2238" s="540"/>
      <c r="R2238" s="540"/>
      <c r="S2238" s="540"/>
      <c r="T2238" s="540"/>
      <c r="U2238" s="540"/>
      <c r="V2238" s="540"/>
      <c r="W2238" s="540"/>
      <c r="X2238" s="540"/>
      <c r="Y2238" s="540"/>
      <c r="Z2238" s="540"/>
    </row>
    <row r="2239" spans="1:26" ht="19">
      <c r="A2239" s="631"/>
      <c r="B2239" s="631"/>
      <c r="C2239" s="631"/>
      <c r="D2239" s="832"/>
      <c r="E2239" s="631"/>
      <c r="F2239" s="631"/>
      <c r="G2239" s="631"/>
      <c r="H2239" s="833"/>
      <c r="I2239" s="834"/>
      <c r="J2239" s="834"/>
      <c r="K2239" s="835"/>
      <c r="L2239" s="835"/>
      <c r="M2239" s="835"/>
      <c r="N2239" s="835"/>
      <c r="O2239" s="835"/>
      <c r="P2239" s="835"/>
      <c r="Q2239" s="540"/>
      <c r="R2239" s="540"/>
      <c r="S2239" s="540"/>
      <c r="T2239" s="540"/>
      <c r="U2239" s="540"/>
      <c r="V2239" s="540"/>
      <c r="W2239" s="540"/>
      <c r="X2239" s="540"/>
      <c r="Y2239" s="540"/>
      <c r="Z2239" s="540"/>
    </row>
    <row r="2240" spans="1:26" ht="19">
      <c r="A2240" s="631"/>
      <c r="B2240" s="631"/>
      <c r="C2240" s="631"/>
      <c r="D2240" s="832"/>
      <c r="E2240" s="631"/>
      <c r="F2240" s="631"/>
      <c r="G2240" s="631"/>
      <c r="H2240" s="833"/>
      <c r="I2240" s="834"/>
      <c r="J2240" s="834"/>
      <c r="K2240" s="835"/>
      <c r="L2240" s="835"/>
      <c r="M2240" s="835"/>
      <c r="N2240" s="835"/>
      <c r="O2240" s="835"/>
      <c r="P2240" s="835"/>
      <c r="Q2240" s="540"/>
      <c r="R2240" s="540"/>
      <c r="S2240" s="540"/>
      <c r="T2240" s="540"/>
      <c r="U2240" s="540"/>
      <c r="V2240" s="540"/>
      <c r="W2240" s="540"/>
      <c r="X2240" s="540"/>
      <c r="Y2240" s="540"/>
      <c r="Z2240" s="540"/>
    </row>
    <row r="2241" spans="1:26" ht="19">
      <c r="A2241" s="631"/>
      <c r="B2241" s="631"/>
      <c r="C2241" s="631"/>
      <c r="D2241" s="832"/>
      <c r="E2241" s="631"/>
      <c r="F2241" s="631"/>
      <c r="G2241" s="631"/>
      <c r="H2241" s="833"/>
      <c r="I2241" s="834"/>
      <c r="J2241" s="834"/>
      <c r="K2241" s="835"/>
      <c r="L2241" s="835"/>
      <c r="M2241" s="835"/>
      <c r="N2241" s="835"/>
      <c r="O2241" s="835"/>
      <c r="P2241" s="835"/>
      <c r="Q2241" s="540"/>
      <c r="R2241" s="540"/>
      <c r="S2241" s="540"/>
      <c r="T2241" s="540"/>
      <c r="U2241" s="540"/>
      <c r="V2241" s="540"/>
      <c r="W2241" s="540"/>
      <c r="X2241" s="540"/>
      <c r="Y2241" s="540"/>
      <c r="Z2241" s="540"/>
    </row>
    <row r="2242" spans="1:26" ht="19">
      <c r="A2242" s="631"/>
      <c r="B2242" s="631"/>
      <c r="C2242" s="631"/>
      <c r="D2242" s="832"/>
      <c r="E2242" s="631"/>
      <c r="F2242" s="631"/>
      <c r="G2242" s="631"/>
      <c r="H2242" s="833"/>
      <c r="I2242" s="834"/>
      <c r="J2242" s="834"/>
      <c r="K2242" s="835"/>
      <c r="L2242" s="835"/>
      <c r="M2242" s="835"/>
      <c r="N2242" s="835"/>
      <c r="O2242" s="835"/>
      <c r="P2242" s="835"/>
      <c r="Q2242" s="540"/>
      <c r="R2242" s="540"/>
      <c r="S2242" s="540"/>
      <c r="T2242" s="540"/>
      <c r="U2242" s="540"/>
      <c r="V2242" s="540"/>
      <c r="W2242" s="540"/>
      <c r="X2242" s="540"/>
      <c r="Y2242" s="540"/>
      <c r="Z2242" s="540"/>
    </row>
    <row r="2243" spans="1:26" ht="19">
      <c r="A2243" s="631"/>
      <c r="B2243" s="631"/>
      <c r="C2243" s="631"/>
      <c r="D2243" s="832"/>
      <c r="E2243" s="631"/>
      <c r="F2243" s="631"/>
      <c r="G2243" s="631"/>
      <c r="H2243" s="833"/>
      <c r="I2243" s="834"/>
      <c r="J2243" s="834"/>
      <c r="K2243" s="835"/>
      <c r="L2243" s="835"/>
      <c r="M2243" s="835"/>
      <c r="N2243" s="835"/>
      <c r="O2243" s="835"/>
      <c r="P2243" s="835"/>
      <c r="Q2243" s="540"/>
      <c r="R2243" s="540"/>
      <c r="S2243" s="540"/>
      <c r="T2243" s="540"/>
      <c r="U2243" s="540"/>
      <c r="V2243" s="540"/>
      <c r="W2243" s="540"/>
      <c r="X2243" s="540"/>
      <c r="Y2243" s="540"/>
      <c r="Z2243" s="540"/>
    </row>
    <row r="2244" spans="1:26" ht="19">
      <c r="A2244" s="631"/>
      <c r="B2244" s="631"/>
      <c r="C2244" s="631"/>
      <c r="D2244" s="832"/>
      <c r="E2244" s="631"/>
      <c r="F2244" s="631"/>
      <c r="G2244" s="631"/>
      <c r="H2244" s="833"/>
      <c r="I2244" s="834"/>
      <c r="J2244" s="834"/>
      <c r="K2244" s="835"/>
      <c r="L2244" s="835"/>
      <c r="M2244" s="835"/>
      <c r="N2244" s="835"/>
      <c r="O2244" s="835"/>
      <c r="P2244" s="835"/>
      <c r="Q2244" s="540"/>
      <c r="R2244" s="540"/>
      <c r="S2244" s="540"/>
      <c r="T2244" s="540"/>
      <c r="U2244" s="540"/>
      <c r="V2244" s="540"/>
      <c r="W2244" s="540"/>
      <c r="X2244" s="540"/>
      <c r="Y2244" s="540"/>
      <c r="Z2244" s="540"/>
    </row>
    <row r="2245" spans="1:26" ht="19">
      <c r="A2245" s="631"/>
      <c r="B2245" s="631"/>
      <c r="C2245" s="631"/>
      <c r="D2245" s="832"/>
      <c r="E2245" s="631"/>
      <c r="F2245" s="631"/>
      <c r="G2245" s="631"/>
      <c r="H2245" s="833"/>
      <c r="I2245" s="834"/>
      <c r="J2245" s="834"/>
      <c r="K2245" s="835"/>
      <c r="L2245" s="835"/>
      <c r="M2245" s="835"/>
      <c r="N2245" s="835"/>
      <c r="O2245" s="835"/>
      <c r="P2245" s="835"/>
      <c r="Q2245" s="540"/>
      <c r="R2245" s="540"/>
      <c r="S2245" s="540"/>
      <c r="T2245" s="540"/>
      <c r="U2245" s="540"/>
      <c r="V2245" s="540"/>
      <c r="W2245" s="540"/>
      <c r="X2245" s="540"/>
      <c r="Y2245" s="540"/>
      <c r="Z2245" s="540"/>
    </row>
    <row r="2246" spans="1:26" ht="19">
      <c r="A2246" s="631"/>
      <c r="B2246" s="631"/>
      <c r="C2246" s="631"/>
      <c r="D2246" s="832"/>
      <c r="E2246" s="631"/>
      <c r="F2246" s="631"/>
      <c r="G2246" s="631"/>
      <c r="H2246" s="833"/>
      <c r="I2246" s="834"/>
      <c r="J2246" s="834"/>
      <c r="K2246" s="835"/>
      <c r="L2246" s="835"/>
      <c r="M2246" s="835"/>
      <c r="N2246" s="835"/>
      <c r="O2246" s="835"/>
      <c r="P2246" s="835"/>
      <c r="Q2246" s="540"/>
      <c r="R2246" s="540"/>
      <c r="S2246" s="540"/>
      <c r="T2246" s="540"/>
      <c r="U2246" s="540"/>
      <c r="V2246" s="540"/>
      <c r="W2246" s="540"/>
      <c r="X2246" s="540"/>
      <c r="Y2246" s="540"/>
      <c r="Z2246" s="540"/>
    </row>
    <row r="2247" spans="1:26" ht="19">
      <c r="A2247" s="631"/>
      <c r="B2247" s="631"/>
      <c r="C2247" s="631"/>
      <c r="D2247" s="832"/>
      <c r="E2247" s="631"/>
      <c r="F2247" s="631"/>
      <c r="G2247" s="631"/>
      <c r="H2247" s="833"/>
      <c r="I2247" s="834"/>
      <c r="J2247" s="834"/>
      <c r="K2247" s="835"/>
      <c r="L2247" s="835"/>
      <c r="M2247" s="835"/>
      <c r="N2247" s="835"/>
      <c r="O2247" s="835"/>
      <c r="P2247" s="835"/>
      <c r="Q2247" s="540"/>
      <c r="R2247" s="540"/>
      <c r="S2247" s="540"/>
      <c r="T2247" s="540"/>
      <c r="U2247" s="540"/>
      <c r="V2247" s="540"/>
      <c r="W2247" s="540"/>
      <c r="X2247" s="540"/>
      <c r="Y2247" s="540"/>
      <c r="Z2247" s="540"/>
    </row>
    <row r="2248" spans="1:26" ht="19">
      <c r="A2248" s="631"/>
      <c r="B2248" s="631"/>
      <c r="C2248" s="631"/>
      <c r="D2248" s="832"/>
      <c r="E2248" s="631"/>
      <c r="F2248" s="631"/>
      <c r="G2248" s="631"/>
      <c r="H2248" s="833"/>
      <c r="I2248" s="834"/>
      <c r="J2248" s="834"/>
      <c r="K2248" s="835"/>
      <c r="L2248" s="835"/>
      <c r="M2248" s="835"/>
      <c r="N2248" s="835"/>
      <c r="O2248" s="835"/>
      <c r="P2248" s="835"/>
      <c r="Q2248" s="540"/>
      <c r="R2248" s="540"/>
      <c r="S2248" s="540"/>
      <c r="T2248" s="540"/>
      <c r="U2248" s="540"/>
      <c r="V2248" s="540"/>
      <c r="W2248" s="540"/>
      <c r="X2248" s="540"/>
      <c r="Y2248" s="540"/>
      <c r="Z2248" s="540"/>
    </row>
    <row r="2249" spans="1:26" ht="19">
      <c r="A2249" s="631"/>
      <c r="B2249" s="631"/>
      <c r="C2249" s="631"/>
      <c r="D2249" s="832"/>
      <c r="E2249" s="631"/>
      <c r="F2249" s="631"/>
      <c r="G2249" s="631"/>
      <c r="H2249" s="833"/>
      <c r="I2249" s="834"/>
      <c r="J2249" s="834"/>
      <c r="K2249" s="835"/>
      <c r="L2249" s="835"/>
      <c r="M2249" s="835"/>
      <c r="N2249" s="835"/>
      <c r="O2249" s="835"/>
      <c r="P2249" s="835"/>
      <c r="Q2249" s="540"/>
      <c r="R2249" s="540"/>
      <c r="S2249" s="540"/>
      <c r="T2249" s="540"/>
      <c r="U2249" s="540"/>
      <c r="V2249" s="540"/>
      <c r="W2249" s="540"/>
      <c r="X2249" s="540"/>
      <c r="Y2249" s="540"/>
      <c r="Z2249" s="540"/>
    </row>
    <row r="2250" spans="1:26" ht="19">
      <c r="A2250" s="631"/>
      <c r="B2250" s="631"/>
      <c r="C2250" s="631"/>
      <c r="D2250" s="832"/>
      <c r="E2250" s="631"/>
      <c r="F2250" s="631"/>
      <c r="G2250" s="631"/>
      <c r="H2250" s="833"/>
      <c r="I2250" s="834"/>
      <c r="J2250" s="834"/>
      <c r="K2250" s="835"/>
      <c r="L2250" s="835"/>
      <c r="M2250" s="835"/>
      <c r="N2250" s="835"/>
      <c r="O2250" s="835"/>
      <c r="P2250" s="835"/>
      <c r="Q2250" s="540"/>
      <c r="R2250" s="540"/>
      <c r="S2250" s="540"/>
      <c r="T2250" s="540"/>
      <c r="U2250" s="540"/>
      <c r="V2250" s="540"/>
      <c r="W2250" s="540"/>
      <c r="X2250" s="540"/>
      <c r="Y2250" s="540"/>
      <c r="Z2250" s="540"/>
    </row>
    <row r="2251" spans="1:26" ht="19">
      <c r="A2251" s="631"/>
      <c r="B2251" s="631"/>
      <c r="C2251" s="631"/>
      <c r="D2251" s="832"/>
      <c r="E2251" s="631"/>
      <c r="F2251" s="631"/>
      <c r="G2251" s="631"/>
      <c r="H2251" s="833"/>
      <c r="I2251" s="834"/>
      <c r="J2251" s="834"/>
      <c r="K2251" s="835"/>
      <c r="L2251" s="835"/>
      <c r="M2251" s="835"/>
      <c r="N2251" s="835"/>
      <c r="O2251" s="835"/>
      <c r="P2251" s="835"/>
      <c r="Q2251" s="540"/>
      <c r="R2251" s="540"/>
      <c r="S2251" s="540"/>
      <c r="T2251" s="540"/>
      <c r="U2251" s="540"/>
      <c r="V2251" s="540"/>
      <c r="W2251" s="540"/>
      <c r="X2251" s="540"/>
      <c r="Y2251" s="540"/>
      <c r="Z2251" s="540"/>
    </row>
    <row r="2252" spans="1:26" ht="19">
      <c r="A2252" s="631"/>
      <c r="B2252" s="631"/>
      <c r="C2252" s="631"/>
      <c r="D2252" s="832"/>
      <c r="E2252" s="631"/>
      <c r="F2252" s="631"/>
      <c r="G2252" s="631"/>
      <c r="H2252" s="833"/>
      <c r="I2252" s="834"/>
      <c r="J2252" s="834"/>
      <c r="K2252" s="835"/>
      <c r="L2252" s="835"/>
      <c r="M2252" s="835"/>
      <c r="N2252" s="835"/>
      <c r="O2252" s="835"/>
      <c r="P2252" s="835"/>
      <c r="Q2252" s="540"/>
      <c r="R2252" s="540"/>
      <c r="S2252" s="540"/>
      <c r="T2252" s="540"/>
      <c r="U2252" s="540"/>
      <c r="V2252" s="540"/>
      <c r="W2252" s="540"/>
      <c r="X2252" s="540"/>
      <c r="Y2252" s="540"/>
      <c r="Z2252" s="540"/>
    </row>
    <row r="2253" spans="1:26" ht="19">
      <c r="A2253" s="631"/>
      <c r="B2253" s="631"/>
      <c r="C2253" s="631"/>
      <c r="D2253" s="832"/>
      <c r="E2253" s="631"/>
      <c r="F2253" s="631"/>
      <c r="G2253" s="631"/>
      <c r="H2253" s="833"/>
      <c r="I2253" s="834"/>
      <c r="J2253" s="834"/>
      <c r="K2253" s="835"/>
      <c r="L2253" s="835"/>
      <c r="M2253" s="835"/>
      <c r="N2253" s="835"/>
      <c r="O2253" s="835"/>
      <c r="P2253" s="835"/>
      <c r="Q2253" s="540"/>
      <c r="R2253" s="540"/>
      <c r="S2253" s="540"/>
      <c r="T2253" s="540"/>
      <c r="U2253" s="540"/>
      <c r="V2253" s="540"/>
      <c r="W2253" s="540"/>
      <c r="X2253" s="540"/>
      <c r="Y2253" s="540"/>
      <c r="Z2253" s="540"/>
    </row>
    <row r="2254" spans="1:26" ht="19">
      <c r="A2254" s="631"/>
      <c r="B2254" s="631"/>
      <c r="C2254" s="631"/>
      <c r="D2254" s="832"/>
      <c r="E2254" s="631"/>
      <c r="F2254" s="631"/>
      <c r="G2254" s="631"/>
      <c r="H2254" s="833"/>
      <c r="I2254" s="834"/>
      <c r="J2254" s="834"/>
      <c r="K2254" s="835"/>
      <c r="L2254" s="835"/>
      <c r="M2254" s="835"/>
      <c r="N2254" s="835"/>
      <c r="O2254" s="835"/>
      <c r="P2254" s="835"/>
      <c r="Q2254" s="540"/>
      <c r="R2254" s="540"/>
      <c r="S2254" s="540"/>
      <c r="T2254" s="540"/>
      <c r="U2254" s="540"/>
      <c r="V2254" s="540"/>
      <c r="W2254" s="540"/>
      <c r="X2254" s="540"/>
      <c r="Y2254" s="540"/>
      <c r="Z2254" s="540"/>
    </row>
    <row r="2255" spans="1:26" ht="19">
      <c r="A2255" s="631"/>
      <c r="B2255" s="631"/>
      <c r="C2255" s="631"/>
      <c r="D2255" s="832"/>
      <c r="E2255" s="631"/>
      <c r="F2255" s="631"/>
      <c r="G2255" s="631"/>
      <c r="H2255" s="833"/>
      <c r="I2255" s="834"/>
      <c r="J2255" s="834"/>
      <c r="K2255" s="835"/>
      <c r="L2255" s="835"/>
      <c r="M2255" s="835"/>
      <c r="N2255" s="835"/>
      <c r="O2255" s="835"/>
      <c r="P2255" s="835"/>
      <c r="Q2255" s="540"/>
      <c r="R2255" s="540"/>
      <c r="S2255" s="540"/>
      <c r="T2255" s="540"/>
      <c r="U2255" s="540"/>
      <c r="V2255" s="540"/>
      <c r="W2255" s="540"/>
      <c r="X2255" s="540"/>
      <c r="Y2255" s="540"/>
      <c r="Z2255" s="540"/>
    </row>
    <row r="2256" spans="1:26" ht="19">
      <c r="A2256" s="631"/>
      <c r="B2256" s="631"/>
      <c r="C2256" s="631"/>
      <c r="D2256" s="832"/>
      <c r="E2256" s="631"/>
      <c r="F2256" s="631"/>
      <c r="G2256" s="631"/>
      <c r="H2256" s="833"/>
      <c r="I2256" s="834"/>
      <c r="J2256" s="834"/>
      <c r="K2256" s="835"/>
      <c r="L2256" s="835"/>
      <c r="M2256" s="835"/>
      <c r="N2256" s="835"/>
      <c r="O2256" s="835"/>
      <c r="P2256" s="835"/>
      <c r="Q2256" s="540"/>
      <c r="R2256" s="540"/>
      <c r="S2256" s="540"/>
      <c r="T2256" s="540"/>
      <c r="U2256" s="540"/>
      <c r="V2256" s="540"/>
      <c r="W2256" s="540"/>
      <c r="X2256" s="540"/>
      <c r="Y2256" s="540"/>
      <c r="Z2256" s="540"/>
    </row>
    <row r="2257" spans="1:26" ht="19">
      <c r="A2257" s="631"/>
      <c r="B2257" s="631"/>
      <c r="C2257" s="631"/>
      <c r="D2257" s="832"/>
      <c r="E2257" s="631"/>
      <c r="F2257" s="631"/>
      <c r="G2257" s="631"/>
      <c r="H2257" s="833"/>
      <c r="I2257" s="834"/>
      <c r="J2257" s="834"/>
      <c r="K2257" s="835"/>
      <c r="L2257" s="835"/>
      <c r="M2257" s="835"/>
      <c r="N2257" s="835"/>
      <c r="O2257" s="835"/>
      <c r="P2257" s="835"/>
      <c r="Q2257" s="540"/>
      <c r="R2257" s="540"/>
      <c r="S2257" s="540"/>
      <c r="T2257" s="540"/>
      <c r="U2257" s="540"/>
      <c r="V2257" s="540"/>
      <c r="W2257" s="540"/>
      <c r="X2257" s="540"/>
      <c r="Y2257" s="540"/>
      <c r="Z2257" s="540"/>
    </row>
    <row r="2258" spans="1:26" ht="19">
      <c r="A2258" s="631"/>
      <c r="B2258" s="631"/>
      <c r="C2258" s="631"/>
      <c r="D2258" s="832"/>
      <c r="E2258" s="631"/>
      <c r="F2258" s="631"/>
      <c r="G2258" s="631"/>
      <c r="H2258" s="833"/>
      <c r="I2258" s="834"/>
      <c r="J2258" s="834"/>
      <c r="K2258" s="835"/>
      <c r="L2258" s="835"/>
      <c r="M2258" s="835"/>
      <c r="N2258" s="835"/>
      <c r="O2258" s="835"/>
      <c r="P2258" s="835"/>
      <c r="Q2258" s="540"/>
      <c r="R2258" s="540"/>
      <c r="S2258" s="540"/>
      <c r="T2258" s="540"/>
      <c r="U2258" s="540"/>
      <c r="V2258" s="540"/>
      <c r="W2258" s="540"/>
      <c r="X2258" s="540"/>
      <c r="Y2258" s="540"/>
      <c r="Z2258" s="540"/>
    </row>
    <row r="2259" spans="1:26" ht="19">
      <c r="A2259" s="631"/>
      <c r="B2259" s="631"/>
      <c r="C2259" s="631"/>
      <c r="D2259" s="832"/>
      <c r="E2259" s="631"/>
      <c r="F2259" s="631"/>
      <c r="G2259" s="631"/>
      <c r="H2259" s="833"/>
      <c r="I2259" s="834"/>
      <c r="J2259" s="834"/>
      <c r="K2259" s="835"/>
      <c r="L2259" s="835"/>
      <c r="M2259" s="835"/>
      <c r="N2259" s="835"/>
      <c r="O2259" s="835"/>
      <c r="P2259" s="835"/>
      <c r="Q2259" s="540"/>
      <c r="R2259" s="540"/>
      <c r="S2259" s="540"/>
      <c r="T2259" s="540"/>
      <c r="U2259" s="540"/>
      <c r="V2259" s="540"/>
      <c r="W2259" s="540"/>
      <c r="X2259" s="540"/>
      <c r="Y2259" s="540"/>
      <c r="Z2259" s="540"/>
    </row>
    <row r="2260" spans="1:26" ht="19">
      <c r="A2260" s="631"/>
      <c r="B2260" s="631"/>
      <c r="C2260" s="631"/>
      <c r="D2260" s="832"/>
      <c r="E2260" s="631"/>
      <c r="F2260" s="631"/>
      <c r="G2260" s="631"/>
      <c r="H2260" s="833"/>
      <c r="I2260" s="834"/>
      <c r="J2260" s="834"/>
      <c r="K2260" s="835"/>
      <c r="L2260" s="835"/>
      <c r="M2260" s="835"/>
      <c r="N2260" s="835"/>
      <c r="O2260" s="835"/>
      <c r="P2260" s="835"/>
      <c r="Q2260" s="540"/>
      <c r="R2260" s="540"/>
      <c r="S2260" s="540"/>
      <c r="T2260" s="540"/>
      <c r="U2260" s="540"/>
      <c r="V2260" s="540"/>
      <c r="W2260" s="540"/>
      <c r="X2260" s="540"/>
      <c r="Y2260" s="540"/>
      <c r="Z2260" s="540"/>
    </row>
    <row r="2261" spans="1:26" ht="19">
      <c r="A2261" s="631"/>
      <c r="B2261" s="631"/>
      <c r="C2261" s="631"/>
      <c r="D2261" s="832"/>
      <c r="E2261" s="631"/>
      <c r="F2261" s="631"/>
      <c r="G2261" s="631"/>
      <c r="H2261" s="833"/>
      <c r="I2261" s="834"/>
      <c r="J2261" s="834"/>
      <c r="K2261" s="835"/>
      <c r="L2261" s="835"/>
      <c r="M2261" s="835"/>
      <c r="N2261" s="835"/>
      <c r="O2261" s="835"/>
      <c r="P2261" s="835"/>
      <c r="Q2261" s="540"/>
      <c r="R2261" s="540"/>
      <c r="S2261" s="540"/>
      <c r="T2261" s="540"/>
      <c r="U2261" s="540"/>
      <c r="V2261" s="540"/>
      <c r="W2261" s="540"/>
      <c r="X2261" s="540"/>
      <c r="Y2261" s="540"/>
      <c r="Z2261" s="540"/>
    </row>
    <row r="2262" spans="1:26" ht="19">
      <c r="A2262" s="631"/>
      <c r="B2262" s="631"/>
      <c r="C2262" s="631"/>
      <c r="D2262" s="832"/>
      <c r="E2262" s="631"/>
      <c r="F2262" s="631"/>
      <c r="G2262" s="631"/>
      <c r="H2262" s="833"/>
      <c r="I2262" s="834"/>
      <c r="J2262" s="834"/>
      <c r="K2262" s="835"/>
      <c r="L2262" s="835"/>
      <c r="M2262" s="835"/>
      <c r="N2262" s="835"/>
      <c r="O2262" s="835"/>
      <c r="P2262" s="835"/>
      <c r="Q2262" s="540"/>
      <c r="R2262" s="540"/>
      <c r="S2262" s="540"/>
      <c r="T2262" s="540"/>
      <c r="U2262" s="540"/>
      <c r="V2262" s="540"/>
      <c r="W2262" s="540"/>
      <c r="X2262" s="540"/>
      <c r="Y2262" s="540"/>
      <c r="Z2262" s="540"/>
    </row>
    <row r="2263" spans="1:26" ht="19">
      <c r="A2263" s="631"/>
      <c r="B2263" s="631"/>
      <c r="C2263" s="631"/>
      <c r="D2263" s="832"/>
      <c r="E2263" s="631"/>
      <c r="F2263" s="631"/>
      <c r="G2263" s="631"/>
      <c r="H2263" s="833"/>
      <c r="I2263" s="834"/>
      <c r="J2263" s="834"/>
      <c r="K2263" s="835"/>
      <c r="L2263" s="835"/>
      <c r="M2263" s="835"/>
      <c r="N2263" s="835"/>
      <c r="O2263" s="835"/>
      <c r="P2263" s="835"/>
      <c r="Q2263" s="540"/>
      <c r="R2263" s="540"/>
      <c r="S2263" s="540"/>
      <c r="T2263" s="540"/>
      <c r="U2263" s="540"/>
      <c r="V2263" s="540"/>
      <c r="W2263" s="540"/>
      <c r="X2263" s="540"/>
      <c r="Y2263" s="540"/>
      <c r="Z2263" s="540"/>
    </row>
    <row r="2264" spans="1:26" ht="19">
      <c r="A2264" s="631"/>
      <c r="B2264" s="631"/>
      <c r="C2264" s="631"/>
      <c r="D2264" s="832"/>
      <c r="E2264" s="631"/>
      <c r="F2264" s="631"/>
      <c r="G2264" s="631"/>
      <c r="H2264" s="833"/>
      <c r="I2264" s="834"/>
      <c r="J2264" s="834"/>
      <c r="K2264" s="835"/>
      <c r="L2264" s="835"/>
      <c r="M2264" s="835"/>
      <c r="N2264" s="835"/>
      <c r="O2264" s="835"/>
      <c r="P2264" s="835"/>
      <c r="Q2264" s="540"/>
      <c r="R2264" s="540"/>
      <c r="S2264" s="540"/>
      <c r="T2264" s="540"/>
      <c r="U2264" s="540"/>
      <c r="V2264" s="540"/>
      <c r="W2264" s="540"/>
      <c r="X2264" s="540"/>
      <c r="Y2264" s="540"/>
      <c r="Z2264" s="540"/>
    </row>
    <row r="2265" spans="1:26" ht="19">
      <c r="A2265" s="631"/>
      <c r="B2265" s="631"/>
      <c r="C2265" s="631"/>
      <c r="D2265" s="832"/>
      <c r="E2265" s="631"/>
      <c r="F2265" s="631"/>
      <c r="G2265" s="631"/>
      <c r="H2265" s="833"/>
      <c r="I2265" s="834"/>
      <c r="J2265" s="834"/>
      <c r="K2265" s="835"/>
      <c r="L2265" s="835"/>
      <c r="M2265" s="835"/>
      <c r="N2265" s="835"/>
      <c r="O2265" s="835"/>
      <c r="P2265" s="835"/>
      <c r="Q2265" s="540"/>
      <c r="R2265" s="540"/>
      <c r="S2265" s="540"/>
      <c r="T2265" s="540"/>
      <c r="U2265" s="540"/>
      <c r="V2265" s="540"/>
      <c r="W2265" s="540"/>
      <c r="X2265" s="540"/>
      <c r="Y2265" s="540"/>
      <c r="Z2265" s="540"/>
    </row>
    <row r="2266" spans="1:26" ht="19">
      <c r="A2266" s="631"/>
      <c r="B2266" s="631"/>
      <c r="C2266" s="631"/>
      <c r="D2266" s="832"/>
      <c r="E2266" s="631"/>
      <c r="F2266" s="631"/>
      <c r="G2266" s="631"/>
      <c r="H2266" s="833"/>
      <c r="I2266" s="834"/>
      <c r="J2266" s="834"/>
      <c r="K2266" s="835"/>
      <c r="L2266" s="835"/>
      <c r="M2266" s="835"/>
      <c r="N2266" s="835"/>
      <c r="O2266" s="835"/>
      <c r="P2266" s="835"/>
      <c r="Q2266" s="540"/>
      <c r="R2266" s="540"/>
      <c r="S2266" s="540"/>
      <c r="T2266" s="540"/>
      <c r="U2266" s="540"/>
      <c r="V2266" s="540"/>
      <c r="W2266" s="540"/>
      <c r="X2266" s="540"/>
      <c r="Y2266" s="540"/>
      <c r="Z2266" s="540"/>
    </row>
    <row r="2267" spans="1:26" ht="19">
      <c r="A2267" s="631"/>
      <c r="B2267" s="631"/>
      <c r="C2267" s="631"/>
      <c r="D2267" s="832"/>
      <c r="E2267" s="631"/>
      <c r="F2267" s="631"/>
      <c r="G2267" s="631"/>
      <c r="H2267" s="833"/>
      <c r="I2267" s="834"/>
      <c r="J2267" s="834"/>
      <c r="K2267" s="835"/>
      <c r="L2267" s="835"/>
      <c r="M2267" s="835"/>
      <c r="N2267" s="835"/>
      <c r="O2267" s="835"/>
      <c r="P2267" s="835"/>
      <c r="Q2267" s="540"/>
      <c r="R2267" s="540"/>
      <c r="S2267" s="540"/>
      <c r="T2267" s="540"/>
      <c r="U2267" s="540"/>
      <c r="V2267" s="540"/>
      <c r="W2267" s="540"/>
      <c r="X2267" s="540"/>
      <c r="Y2267" s="540"/>
      <c r="Z2267" s="540"/>
    </row>
    <row r="2268" spans="1:26" ht="19">
      <c r="A2268" s="631"/>
      <c r="B2268" s="631"/>
      <c r="C2268" s="631"/>
      <c r="D2268" s="832"/>
      <c r="E2268" s="631"/>
      <c r="F2268" s="631"/>
      <c r="G2268" s="631"/>
      <c r="H2268" s="833"/>
      <c r="I2268" s="834"/>
      <c r="J2268" s="834"/>
      <c r="K2268" s="835"/>
      <c r="L2268" s="835"/>
      <c r="M2268" s="835"/>
      <c r="N2268" s="835"/>
      <c r="O2268" s="835"/>
      <c r="P2268" s="835"/>
      <c r="Q2268" s="540"/>
      <c r="R2268" s="540"/>
      <c r="S2268" s="540"/>
      <c r="T2268" s="540"/>
      <c r="U2268" s="540"/>
      <c r="V2268" s="540"/>
      <c r="W2268" s="540"/>
      <c r="X2268" s="540"/>
      <c r="Y2268" s="540"/>
      <c r="Z2268" s="540"/>
    </row>
    <row r="2269" spans="1:26" ht="19">
      <c r="A2269" s="631"/>
      <c r="B2269" s="631"/>
      <c r="C2269" s="631"/>
      <c r="D2269" s="832"/>
      <c r="E2269" s="631"/>
      <c r="F2269" s="631"/>
      <c r="G2269" s="631"/>
      <c r="H2269" s="833"/>
      <c r="I2269" s="834"/>
      <c r="J2269" s="834"/>
      <c r="K2269" s="835"/>
      <c r="L2269" s="835"/>
      <c r="M2269" s="835"/>
      <c r="N2269" s="835"/>
      <c r="O2269" s="835"/>
      <c r="P2269" s="835"/>
      <c r="Q2269" s="540"/>
      <c r="R2269" s="540"/>
      <c r="S2269" s="540"/>
      <c r="T2269" s="540"/>
      <c r="U2269" s="540"/>
      <c r="V2269" s="540"/>
      <c r="W2269" s="540"/>
      <c r="X2269" s="540"/>
      <c r="Y2269" s="540"/>
      <c r="Z2269" s="540"/>
    </row>
    <row r="2270" spans="1:26" ht="19">
      <c r="A2270" s="631"/>
      <c r="B2270" s="631"/>
      <c r="C2270" s="631"/>
      <c r="D2270" s="832"/>
      <c r="E2270" s="631"/>
      <c r="F2270" s="631"/>
      <c r="G2270" s="631"/>
      <c r="H2270" s="833"/>
      <c r="I2270" s="834"/>
      <c r="J2270" s="834"/>
      <c r="K2270" s="835"/>
      <c r="L2270" s="835"/>
      <c r="M2270" s="835"/>
      <c r="N2270" s="835"/>
      <c r="O2270" s="835"/>
      <c r="P2270" s="835"/>
      <c r="Q2270" s="540"/>
      <c r="R2270" s="540"/>
      <c r="S2270" s="540"/>
      <c r="T2270" s="540"/>
      <c r="U2270" s="540"/>
      <c r="V2270" s="540"/>
      <c r="W2270" s="540"/>
      <c r="X2270" s="540"/>
      <c r="Y2270" s="540"/>
      <c r="Z2270" s="540"/>
    </row>
    <row r="2271" spans="1:26" ht="19">
      <c r="A2271" s="631"/>
      <c r="B2271" s="631"/>
      <c r="C2271" s="631"/>
      <c r="D2271" s="832"/>
      <c r="E2271" s="631"/>
      <c r="F2271" s="631"/>
      <c r="G2271" s="631"/>
      <c r="H2271" s="833"/>
      <c r="I2271" s="834"/>
      <c r="J2271" s="834"/>
      <c r="K2271" s="835"/>
      <c r="L2271" s="835"/>
      <c r="M2271" s="835"/>
      <c r="N2271" s="835"/>
      <c r="O2271" s="835"/>
      <c r="P2271" s="835"/>
      <c r="Q2271" s="540"/>
      <c r="R2271" s="540"/>
      <c r="S2271" s="540"/>
      <c r="T2271" s="540"/>
      <c r="U2271" s="540"/>
      <c r="V2271" s="540"/>
      <c r="W2271" s="540"/>
      <c r="X2271" s="540"/>
      <c r="Y2271" s="540"/>
      <c r="Z2271" s="540"/>
    </row>
    <row r="2272" spans="1:26" ht="19">
      <c r="A2272" s="631"/>
      <c r="B2272" s="631"/>
      <c r="C2272" s="631"/>
      <c r="D2272" s="832"/>
      <c r="E2272" s="631"/>
      <c r="F2272" s="631"/>
      <c r="G2272" s="631"/>
      <c r="H2272" s="833"/>
      <c r="I2272" s="834"/>
      <c r="J2272" s="834"/>
      <c r="K2272" s="835"/>
      <c r="L2272" s="835"/>
      <c r="M2272" s="835"/>
      <c r="N2272" s="835"/>
      <c r="O2272" s="835"/>
      <c r="P2272" s="835"/>
      <c r="Q2272" s="540"/>
      <c r="R2272" s="540"/>
      <c r="S2272" s="540"/>
      <c r="T2272" s="540"/>
      <c r="U2272" s="540"/>
      <c r="V2272" s="540"/>
      <c r="W2272" s="540"/>
      <c r="X2272" s="540"/>
      <c r="Y2272" s="540"/>
      <c r="Z2272" s="540"/>
    </row>
    <row r="2273" spans="1:26" ht="19">
      <c r="A2273" s="631"/>
      <c r="B2273" s="631"/>
      <c r="C2273" s="631"/>
      <c r="D2273" s="832"/>
      <c r="E2273" s="631"/>
      <c r="F2273" s="631"/>
      <c r="G2273" s="631"/>
      <c r="H2273" s="833"/>
      <c r="I2273" s="834"/>
      <c r="J2273" s="834"/>
      <c r="K2273" s="835"/>
      <c r="L2273" s="835"/>
      <c r="M2273" s="835"/>
      <c r="N2273" s="835"/>
      <c r="O2273" s="835"/>
      <c r="P2273" s="835"/>
      <c r="Q2273" s="540"/>
      <c r="R2273" s="540"/>
      <c r="S2273" s="540"/>
      <c r="T2273" s="540"/>
      <c r="U2273" s="540"/>
      <c r="V2273" s="540"/>
      <c r="W2273" s="540"/>
      <c r="X2273" s="540"/>
      <c r="Y2273" s="540"/>
      <c r="Z2273" s="540"/>
    </row>
    <row r="2274" spans="1:26" ht="19">
      <c r="A2274" s="631"/>
      <c r="B2274" s="631"/>
      <c r="C2274" s="631"/>
      <c r="D2274" s="832"/>
      <c r="E2274" s="631"/>
      <c r="F2274" s="631"/>
      <c r="G2274" s="631"/>
      <c r="H2274" s="833"/>
      <c r="I2274" s="834"/>
      <c r="J2274" s="834"/>
      <c r="K2274" s="835"/>
      <c r="L2274" s="835"/>
      <c r="M2274" s="835"/>
      <c r="N2274" s="835"/>
      <c r="O2274" s="835"/>
      <c r="P2274" s="835"/>
      <c r="Q2274" s="540"/>
      <c r="R2274" s="540"/>
      <c r="S2274" s="540"/>
      <c r="T2274" s="540"/>
      <c r="U2274" s="540"/>
      <c r="V2274" s="540"/>
      <c r="W2274" s="540"/>
      <c r="X2274" s="540"/>
      <c r="Y2274" s="540"/>
      <c r="Z2274" s="540"/>
    </row>
    <row r="2275" spans="1:26" ht="19">
      <c r="A2275" s="631"/>
      <c r="B2275" s="631"/>
      <c r="C2275" s="631"/>
      <c r="D2275" s="832"/>
      <c r="E2275" s="631"/>
      <c r="F2275" s="631"/>
      <c r="G2275" s="631"/>
      <c r="H2275" s="833"/>
      <c r="I2275" s="834"/>
      <c r="J2275" s="834"/>
      <c r="K2275" s="835"/>
      <c r="L2275" s="835"/>
      <c r="M2275" s="835"/>
      <c r="N2275" s="835"/>
      <c r="O2275" s="835"/>
      <c r="P2275" s="835"/>
      <c r="Q2275" s="540"/>
      <c r="R2275" s="540"/>
      <c r="S2275" s="540"/>
      <c r="T2275" s="540"/>
      <c r="U2275" s="540"/>
      <c r="V2275" s="540"/>
      <c r="W2275" s="540"/>
      <c r="X2275" s="540"/>
      <c r="Y2275" s="540"/>
      <c r="Z2275" s="540"/>
    </row>
    <row r="2276" spans="1:26" ht="19">
      <c r="A2276" s="631"/>
      <c r="B2276" s="631"/>
      <c r="C2276" s="631"/>
      <c r="D2276" s="832"/>
      <c r="E2276" s="631"/>
      <c r="F2276" s="631"/>
      <c r="G2276" s="631"/>
      <c r="H2276" s="833"/>
      <c r="I2276" s="834"/>
      <c r="J2276" s="834"/>
      <c r="K2276" s="835"/>
      <c r="L2276" s="835"/>
      <c r="M2276" s="835"/>
      <c r="N2276" s="835"/>
      <c r="O2276" s="835"/>
      <c r="P2276" s="835"/>
      <c r="Q2276" s="540"/>
      <c r="R2276" s="540"/>
      <c r="S2276" s="540"/>
      <c r="T2276" s="540"/>
      <c r="U2276" s="540"/>
      <c r="V2276" s="540"/>
      <c r="W2276" s="540"/>
      <c r="X2276" s="540"/>
      <c r="Y2276" s="540"/>
      <c r="Z2276" s="540"/>
    </row>
    <row r="2277" spans="1:26" ht="19">
      <c r="A2277" s="631"/>
      <c r="B2277" s="631"/>
      <c r="C2277" s="631"/>
      <c r="D2277" s="832"/>
      <c r="E2277" s="631"/>
      <c r="F2277" s="631"/>
      <c r="G2277" s="631"/>
      <c r="H2277" s="833"/>
      <c r="I2277" s="834"/>
      <c r="J2277" s="834"/>
      <c r="K2277" s="835"/>
      <c r="L2277" s="835"/>
      <c r="M2277" s="835"/>
      <c r="N2277" s="835"/>
      <c r="O2277" s="835"/>
      <c r="P2277" s="835"/>
      <c r="Q2277" s="540"/>
      <c r="R2277" s="540"/>
      <c r="S2277" s="540"/>
      <c r="T2277" s="540"/>
      <c r="U2277" s="540"/>
      <c r="V2277" s="540"/>
      <c r="W2277" s="540"/>
      <c r="X2277" s="540"/>
      <c r="Y2277" s="540"/>
      <c r="Z2277" s="540"/>
    </row>
    <row r="2278" spans="1:26" ht="19">
      <c r="A2278" s="631"/>
      <c r="B2278" s="631"/>
      <c r="C2278" s="631"/>
      <c r="D2278" s="832"/>
      <c r="E2278" s="631"/>
      <c r="F2278" s="631"/>
      <c r="G2278" s="631"/>
      <c r="H2278" s="833"/>
      <c r="I2278" s="834"/>
      <c r="J2278" s="834"/>
      <c r="K2278" s="835"/>
      <c r="L2278" s="835"/>
      <c r="M2278" s="835"/>
      <c r="N2278" s="835"/>
      <c r="O2278" s="835"/>
      <c r="P2278" s="835"/>
      <c r="Q2278" s="540"/>
      <c r="R2278" s="540"/>
      <c r="S2278" s="540"/>
      <c r="T2278" s="540"/>
      <c r="U2278" s="540"/>
      <c r="V2278" s="540"/>
      <c r="W2278" s="540"/>
      <c r="X2278" s="540"/>
      <c r="Y2278" s="540"/>
      <c r="Z2278" s="540"/>
    </row>
    <row r="2279" spans="1:26" ht="19">
      <c r="A2279" s="631"/>
      <c r="B2279" s="631"/>
      <c r="C2279" s="631"/>
      <c r="D2279" s="832"/>
      <c r="E2279" s="631"/>
      <c r="F2279" s="631"/>
      <c r="G2279" s="631"/>
      <c r="H2279" s="833"/>
      <c r="I2279" s="834"/>
      <c r="J2279" s="834"/>
      <c r="K2279" s="835"/>
      <c r="L2279" s="835"/>
      <c r="M2279" s="835"/>
      <c r="N2279" s="835"/>
      <c r="O2279" s="835"/>
      <c r="P2279" s="835"/>
      <c r="Q2279" s="540"/>
      <c r="R2279" s="540"/>
      <c r="S2279" s="540"/>
      <c r="T2279" s="540"/>
      <c r="U2279" s="540"/>
      <c r="V2279" s="540"/>
      <c r="W2279" s="540"/>
      <c r="X2279" s="540"/>
      <c r="Y2279" s="540"/>
      <c r="Z2279" s="540"/>
    </row>
    <row r="2280" spans="1:26" ht="19">
      <c r="A2280" s="631"/>
      <c r="B2280" s="631"/>
      <c r="C2280" s="631"/>
      <c r="D2280" s="832"/>
      <c r="E2280" s="631"/>
      <c r="F2280" s="631"/>
      <c r="G2280" s="631"/>
      <c r="H2280" s="833"/>
      <c r="I2280" s="834"/>
      <c r="J2280" s="834"/>
      <c r="K2280" s="835"/>
      <c r="L2280" s="835"/>
      <c r="M2280" s="835"/>
      <c r="N2280" s="835"/>
      <c r="O2280" s="835"/>
      <c r="P2280" s="835"/>
      <c r="Q2280" s="540"/>
      <c r="R2280" s="540"/>
      <c r="S2280" s="540"/>
      <c r="T2280" s="540"/>
      <c r="U2280" s="540"/>
      <c r="V2280" s="540"/>
      <c r="W2280" s="540"/>
      <c r="X2280" s="540"/>
      <c r="Y2280" s="540"/>
      <c r="Z2280" s="540"/>
    </row>
    <row r="2281" spans="1:26" ht="19">
      <c r="A2281" s="631"/>
      <c r="B2281" s="631"/>
      <c r="C2281" s="631"/>
      <c r="D2281" s="832"/>
      <c r="E2281" s="631"/>
      <c r="F2281" s="631"/>
      <c r="G2281" s="631"/>
      <c r="H2281" s="833"/>
      <c r="I2281" s="834"/>
      <c r="J2281" s="834"/>
      <c r="K2281" s="835"/>
      <c r="L2281" s="835"/>
      <c r="M2281" s="835"/>
      <c r="N2281" s="835"/>
      <c r="O2281" s="835"/>
      <c r="P2281" s="835"/>
      <c r="Q2281" s="540"/>
      <c r="R2281" s="540"/>
      <c r="S2281" s="540"/>
      <c r="T2281" s="540"/>
      <c r="U2281" s="540"/>
      <c r="V2281" s="540"/>
      <c r="W2281" s="540"/>
      <c r="X2281" s="540"/>
      <c r="Y2281" s="540"/>
      <c r="Z2281" s="540"/>
    </row>
    <row r="2282" spans="1:26" ht="19">
      <c r="A2282" s="631"/>
      <c r="B2282" s="631"/>
      <c r="C2282" s="631"/>
      <c r="D2282" s="832"/>
      <c r="E2282" s="631"/>
      <c r="F2282" s="631"/>
      <c r="G2282" s="631"/>
      <c r="H2282" s="833"/>
      <c r="I2282" s="834"/>
      <c r="J2282" s="834"/>
      <c r="K2282" s="835"/>
      <c r="L2282" s="835"/>
      <c r="M2282" s="835"/>
      <c r="N2282" s="835"/>
      <c r="O2282" s="835"/>
      <c r="P2282" s="835"/>
      <c r="Q2282" s="540"/>
      <c r="R2282" s="540"/>
      <c r="S2282" s="540"/>
      <c r="T2282" s="540"/>
      <c r="U2282" s="540"/>
      <c r="V2282" s="540"/>
      <c r="W2282" s="540"/>
      <c r="X2282" s="540"/>
      <c r="Y2282" s="540"/>
      <c r="Z2282" s="540"/>
    </row>
    <row r="2283" spans="1:26" ht="19">
      <c r="A2283" s="631"/>
      <c r="B2283" s="631"/>
      <c r="C2283" s="631"/>
      <c r="D2283" s="832"/>
      <c r="E2283" s="631"/>
      <c r="F2283" s="631"/>
      <c r="G2283" s="631"/>
      <c r="H2283" s="833"/>
      <c r="I2283" s="834"/>
      <c r="J2283" s="834"/>
      <c r="K2283" s="835"/>
      <c r="L2283" s="835"/>
      <c r="M2283" s="835"/>
      <c r="N2283" s="835"/>
      <c r="O2283" s="835"/>
      <c r="P2283" s="835"/>
      <c r="Q2283" s="540"/>
      <c r="R2283" s="540"/>
      <c r="S2283" s="540"/>
      <c r="T2283" s="540"/>
      <c r="U2283" s="540"/>
      <c r="V2283" s="540"/>
      <c r="W2283" s="540"/>
      <c r="X2283" s="540"/>
      <c r="Y2283" s="540"/>
      <c r="Z2283" s="540"/>
    </row>
    <row r="2284" spans="1:26" ht="19">
      <c r="A2284" s="631"/>
      <c r="B2284" s="631"/>
      <c r="C2284" s="631"/>
      <c r="D2284" s="832"/>
      <c r="E2284" s="631"/>
      <c r="F2284" s="631"/>
      <c r="G2284" s="631"/>
      <c r="H2284" s="833"/>
      <c r="I2284" s="834"/>
      <c r="J2284" s="834"/>
      <c r="K2284" s="835"/>
      <c r="L2284" s="835"/>
      <c r="M2284" s="835"/>
      <c r="N2284" s="835"/>
      <c r="O2284" s="835"/>
      <c r="P2284" s="835"/>
      <c r="Q2284" s="540"/>
      <c r="R2284" s="540"/>
      <c r="S2284" s="540"/>
      <c r="T2284" s="540"/>
      <c r="U2284" s="540"/>
      <c r="V2284" s="540"/>
      <c r="W2284" s="540"/>
      <c r="X2284" s="540"/>
      <c r="Y2284" s="540"/>
      <c r="Z2284" s="540"/>
    </row>
    <row r="2285" spans="1:26" ht="19">
      <c r="A2285" s="631"/>
      <c r="B2285" s="631"/>
      <c r="C2285" s="631"/>
      <c r="D2285" s="832"/>
      <c r="E2285" s="631"/>
      <c r="F2285" s="631"/>
      <c r="G2285" s="631"/>
      <c r="H2285" s="833"/>
      <c r="I2285" s="834"/>
      <c r="J2285" s="834"/>
      <c r="K2285" s="835"/>
      <c r="L2285" s="835"/>
      <c r="M2285" s="835"/>
      <c r="N2285" s="835"/>
      <c r="O2285" s="835"/>
      <c r="P2285" s="835"/>
      <c r="Q2285" s="540"/>
      <c r="R2285" s="540"/>
      <c r="S2285" s="540"/>
      <c r="T2285" s="540"/>
      <c r="U2285" s="540"/>
      <c r="V2285" s="540"/>
      <c r="W2285" s="540"/>
      <c r="X2285" s="540"/>
      <c r="Y2285" s="540"/>
      <c r="Z2285" s="540"/>
    </row>
    <row r="2286" spans="1:26" ht="19">
      <c r="A2286" s="631"/>
      <c r="B2286" s="631"/>
      <c r="C2286" s="631"/>
      <c r="D2286" s="832"/>
      <c r="E2286" s="631"/>
      <c r="F2286" s="631"/>
      <c r="G2286" s="631"/>
      <c r="H2286" s="833"/>
      <c r="I2286" s="834"/>
      <c r="J2286" s="834"/>
      <c r="K2286" s="835"/>
      <c r="L2286" s="835"/>
      <c r="M2286" s="835"/>
      <c r="N2286" s="835"/>
      <c r="O2286" s="835"/>
      <c r="P2286" s="835"/>
      <c r="Q2286" s="540"/>
      <c r="R2286" s="540"/>
      <c r="S2286" s="540"/>
      <c r="T2286" s="540"/>
      <c r="U2286" s="540"/>
      <c r="V2286" s="540"/>
      <c r="W2286" s="540"/>
      <c r="X2286" s="540"/>
      <c r="Y2286" s="540"/>
      <c r="Z2286" s="540"/>
    </row>
    <row r="2287" spans="1:26" ht="19">
      <c r="A2287" s="631"/>
      <c r="B2287" s="631"/>
      <c r="C2287" s="631"/>
      <c r="D2287" s="832"/>
      <c r="E2287" s="631"/>
      <c r="F2287" s="631"/>
      <c r="G2287" s="631"/>
      <c r="H2287" s="833"/>
      <c r="I2287" s="834"/>
      <c r="J2287" s="834"/>
      <c r="K2287" s="835"/>
      <c r="L2287" s="835"/>
      <c r="M2287" s="835"/>
      <c r="N2287" s="835"/>
      <c r="O2287" s="835"/>
      <c r="P2287" s="835"/>
      <c r="Q2287" s="540"/>
      <c r="R2287" s="540"/>
      <c r="S2287" s="540"/>
      <c r="T2287" s="540"/>
      <c r="U2287" s="540"/>
      <c r="V2287" s="540"/>
      <c r="W2287" s="540"/>
      <c r="X2287" s="540"/>
      <c r="Y2287" s="540"/>
      <c r="Z2287" s="540"/>
    </row>
    <row r="2288" spans="1:26" ht="19">
      <c r="A2288" s="631"/>
      <c r="B2288" s="631"/>
      <c r="C2288" s="631"/>
      <c r="D2288" s="832"/>
      <c r="E2288" s="631"/>
      <c r="F2288" s="631"/>
      <c r="G2288" s="631"/>
      <c r="H2288" s="833"/>
      <c r="I2288" s="834"/>
      <c r="J2288" s="834"/>
      <c r="K2288" s="835"/>
      <c r="L2288" s="835"/>
      <c r="M2288" s="835"/>
      <c r="N2288" s="835"/>
      <c r="O2288" s="835"/>
      <c r="P2288" s="835"/>
      <c r="Q2288" s="540"/>
      <c r="R2288" s="540"/>
      <c r="S2288" s="540"/>
      <c r="T2288" s="540"/>
      <c r="U2288" s="540"/>
      <c r="V2288" s="540"/>
      <c r="W2288" s="540"/>
      <c r="X2288" s="540"/>
      <c r="Y2288" s="540"/>
      <c r="Z2288" s="540"/>
    </row>
    <row r="2289" spans="1:26" ht="19">
      <c r="A2289" s="631"/>
      <c r="B2289" s="631"/>
      <c r="C2289" s="631"/>
      <c r="D2289" s="832"/>
      <c r="E2289" s="631"/>
      <c r="F2289" s="631"/>
      <c r="G2289" s="631"/>
      <c r="H2289" s="833"/>
      <c r="I2289" s="834"/>
      <c r="J2289" s="834"/>
      <c r="K2289" s="835"/>
      <c r="L2289" s="835"/>
      <c r="M2289" s="835"/>
      <c r="N2289" s="835"/>
      <c r="O2289" s="835"/>
      <c r="P2289" s="835"/>
      <c r="Q2289" s="540"/>
      <c r="R2289" s="540"/>
      <c r="S2289" s="540"/>
      <c r="T2289" s="540"/>
      <c r="U2289" s="540"/>
      <c r="V2289" s="540"/>
      <c r="W2289" s="540"/>
      <c r="X2289" s="540"/>
      <c r="Y2289" s="540"/>
      <c r="Z2289" s="540"/>
    </row>
    <row r="2290" spans="1:26" ht="19">
      <c r="A2290" s="631"/>
      <c r="B2290" s="631"/>
      <c r="C2290" s="631"/>
      <c r="D2290" s="832"/>
      <c r="E2290" s="631"/>
      <c r="F2290" s="631"/>
      <c r="G2290" s="631"/>
      <c r="H2290" s="833"/>
      <c r="I2290" s="834"/>
      <c r="J2290" s="834"/>
      <c r="K2290" s="835"/>
      <c r="L2290" s="835"/>
      <c r="M2290" s="835"/>
      <c r="N2290" s="835"/>
      <c r="O2290" s="835"/>
      <c r="P2290" s="835"/>
      <c r="Q2290" s="540"/>
      <c r="R2290" s="540"/>
      <c r="S2290" s="540"/>
      <c r="T2290" s="540"/>
      <c r="U2290" s="540"/>
      <c r="V2290" s="540"/>
      <c r="W2290" s="540"/>
      <c r="X2290" s="540"/>
      <c r="Y2290" s="540"/>
      <c r="Z2290" s="540"/>
    </row>
    <row r="2291" spans="1:26" ht="19">
      <c r="A2291" s="631"/>
      <c r="B2291" s="631"/>
      <c r="C2291" s="631"/>
      <c r="D2291" s="832"/>
      <c r="E2291" s="631"/>
      <c r="F2291" s="631"/>
      <c r="G2291" s="631"/>
      <c r="H2291" s="833"/>
      <c r="I2291" s="834"/>
      <c r="J2291" s="834"/>
      <c r="K2291" s="835"/>
      <c r="L2291" s="835"/>
      <c r="M2291" s="835"/>
      <c r="N2291" s="835"/>
      <c r="O2291" s="835"/>
      <c r="P2291" s="835"/>
      <c r="Q2291" s="540"/>
      <c r="R2291" s="540"/>
      <c r="S2291" s="540"/>
      <c r="T2291" s="540"/>
      <c r="U2291" s="540"/>
      <c r="V2291" s="540"/>
      <c r="W2291" s="540"/>
      <c r="X2291" s="540"/>
      <c r="Y2291" s="540"/>
      <c r="Z2291" s="540"/>
    </row>
    <row r="2292" spans="1:26" ht="19">
      <c r="A2292" s="631"/>
      <c r="B2292" s="631"/>
      <c r="C2292" s="631"/>
      <c r="D2292" s="832"/>
      <c r="E2292" s="631"/>
      <c r="F2292" s="631"/>
      <c r="G2292" s="631"/>
      <c r="H2292" s="833"/>
      <c r="I2292" s="834"/>
      <c r="J2292" s="834"/>
      <c r="K2292" s="835"/>
      <c r="L2292" s="835"/>
      <c r="M2292" s="835"/>
      <c r="N2292" s="835"/>
      <c r="O2292" s="835"/>
      <c r="P2292" s="835"/>
      <c r="Q2292" s="540"/>
      <c r="R2292" s="540"/>
      <c r="S2292" s="540"/>
      <c r="T2292" s="540"/>
      <c r="U2292" s="540"/>
      <c r="V2292" s="540"/>
      <c r="W2292" s="540"/>
      <c r="X2292" s="540"/>
      <c r="Y2292" s="540"/>
      <c r="Z2292" s="540"/>
    </row>
    <row r="2293" spans="1:26" ht="19">
      <c r="A2293" s="631"/>
      <c r="B2293" s="631"/>
      <c r="C2293" s="631"/>
      <c r="D2293" s="832"/>
      <c r="E2293" s="631"/>
      <c r="F2293" s="631"/>
      <c r="G2293" s="631"/>
      <c r="H2293" s="833"/>
      <c r="I2293" s="834"/>
      <c r="J2293" s="834"/>
      <c r="K2293" s="835"/>
      <c r="L2293" s="835"/>
      <c r="M2293" s="835"/>
      <c r="N2293" s="835"/>
      <c r="O2293" s="835"/>
      <c r="P2293" s="835"/>
      <c r="Q2293" s="540"/>
      <c r="R2293" s="540"/>
      <c r="S2293" s="540"/>
      <c r="T2293" s="540"/>
      <c r="U2293" s="540"/>
      <c r="V2293" s="540"/>
      <c r="W2293" s="540"/>
      <c r="X2293" s="540"/>
      <c r="Y2293" s="540"/>
      <c r="Z2293" s="540"/>
    </row>
    <row r="2294" spans="1:26" ht="19">
      <c r="A2294" s="631"/>
      <c r="B2294" s="631"/>
      <c r="C2294" s="631"/>
      <c r="D2294" s="832"/>
      <c r="E2294" s="631"/>
      <c r="F2294" s="631"/>
      <c r="G2294" s="631"/>
      <c r="H2294" s="833"/>
      <c r="I2294" s="834"/>
      <c r="J2294" s="834"/>
      <c r="K2294" s="835"/>
      <c r="L2294" s="835"/>
      <c r="M2294" s="835"/>
      <c r="N2294" s="835"/>
      <c r="O2294" s="835"/>
      <c r="P2294" s="835"/>
      <c r="Q2294" s="540"/>
      <c r="R2294" s="540"/>
      <c r="S2294" s="540"/>
      <c r="T2294" s="540"/>
      <c r="U2294" s="540"/>
      <c r="V2294" s="540"/>
      <c r="W2294" s="540"/>
      <c r="X2294" s="540"/>
      <c r="Y2294" s="540"/>
      <c r="Z2294" s="540"/>
    </row>
    <row r="2295" spans="1:26" ht="19">
      <c r="A2295" s="631"/>
      <c r="B2295" s="631"/>
      <c r="C2295" s="631"/>
      <c r="D2295" s="832"/>
      <c r="E2295" s="631"/>
      <c r="F2295" s="631"/>
      <c r="G2295" s="631"/>
      <c r="H2295" s="833"/>
      <c r="I2295" s="834"/>
      <c r="J2295" s="834"/>
      <c r="K2295" s="835"/>
      <c r="L2295" s="835"/>
      <c r="M2295" s="835"/>
      <c r="N2295" s="835"/>
      <c r="O2295" s="835"/>
      <c r="P2295" s="835"/>
      <c r="Q2295" s="540"/>
      <c r="R2295" s="540"/>
      <c r="S2295" s="540"/>
      <c r="T2295" s="540"/>
      <c r="U2295" s="540"/>
      <c r="V2295" s="540"/>
      <c r="W2295" s="540"/>
      <c r="X2295" s="540"/>
      <c r="Y2295" s="540"/>
      <c r="Z2295" s="540"/>
    </row>
    <row r="2296" spans="1:26" ht="19">
      <c r="A2296" s="631"/>
      <c r="B2296" s="631"/>
      <c r="C2296" s="631"/>
      <c r="D2296" s="832"/>
      <c r="E2296" s="631"/>
      <c r="F2296" s="631"/>
      <c r="G2296" s="631"/>
      <c r="H2296" s="833"/>
      <c r="I2296" s="834"/>
      <c r="J2296" s="834"/>
      <c r="K2296" s="835"/>
      <c r="L2296" s="835"/>
      <c r="M2296" s="835"/>
      <c r="N2296" s="835"/>
      <c r="O2296" s="835"/>
      <c r="P2296" s="835"/>
      <c r="Q2296" s="540"/>
      <c r="R2296" s="540"/>
      <c r="S2296" s="540"/>
      <c r="T2296" s="540"/>
      <c r="U2296" s="540"/>
      <c r="V2296" s="540"/>
      <c r="W2296" s="540"/>
      <c r="X2296" s="540"/>
      <c r="Y2296" s="540"/>
      <c r="Z2296" s="540"/>
    </row>
    <row r="2297" spans="1:26" ht="19">
      <c r="A2297" s="631"/>
      <c r="B2297" s="631"/>
      <c r="C2297" s="631"/>
      <c r="D2297" s="832"/>
      <c r="E2297" s="631"/>
      <c r="F2297" s="631"/>
      <c r="G2297" s="631"/>
      <c r="H2297" s="833"/>
      <c r="I2297" s="834"/>
      <c r="J2297" s="834"/>
      <c r="K2297" s="835"/>
      <c r="L2297" s="835"/>
      <c r="M2297" s="835"/>
      <c r="N2297" s="835"/>
      <c r="O2297" s="835"/>
      <c r="P2297" s="835"/>
      <c r="Q2297" s="540"/>
      <c r="R2297" s="540"/>
      <c r="S2297" s="540"/>
      <c r="T2297" s="540"/>
      <c r="U2297" s="540"/>
      <c r="V2297" s="540"/>
      <c r="W2297" s="540"/>
      <c r="X2297" s="540"/>
      <c r="Y2297" s="540"/>
      <c r="Z2297" s="540"/>
    </row>
    <row r="2298" spans="1:26" ht="19">
      <c r="A2298" s="631"/>
      <c r="B2298" s="631"/>
      <c r="C2298" s="631"/>
      <c r="D2298" s="832"/>
      <c r="E2298" s="631"/>
      <c r="F2298" s="631"/>
      <c r="G2298" s="631"/>
      <c r="H2298" s="833"/>
      <c r="I2298" s="834"/>
      <c r="J2298" s="834"/>
      <c r="K2298" s="835"/>
      <c r="L2298" s="835"/>
      <c r="M2298" s="835"/>
      <c r="N2298" s="835"/>
      <c r="O2298" s="835"/>
      <c r="P2298" s="835"/>
      <c r="Q2298" s="540"/>
      <c r="R2298" s="540"/>
      <c r="S2298" s="540"/>
      <c r="T2298" s="540"/>
      <c r="U2298" s="540"/>
      <c r="V2298" s="540"/>
      <c r="W2298" s="540"/>
      <c r="X2298" s="540"/>
      <c r="Y2298" s="540"/>
      <c r="Z2298" s="540"/>
    </row>
    <row r="2299" spans="1:26" ht="19">
      <c r="A2299" s="631"/>
      <c r="B2299" s="631"/>
      <c r="C2299" s="631"/>
      <c r="D2299" s="832"/>
      <c r="E2299" s="631"/>
      <c r="F2299" s="631"/>
      <c r="G2299" s="631"/>
      <c r="H2299" s="833"/>
      <c r="I2299" s="834"/>
      <c r="J2299" s="834"/>
      <c r="K2299" s="835"/>
      <c r="L2299" s="835"/>
      <c r="M2299" s="835"/>
      <c r="N2299" s="835"/>
      <c r="O2299" s="835"/>
      <c r="P2299" s="835"/>
      <c r="Q2299" s="540"/>
      <c r="R2299" s="540"/>
      <c r="S2299" s="540"/>
      <c r="T2299" s="540"/>
      <c r="U2299" s="540"/>
      <c r="V2299" s="540"/>
      <c r="W2299" s="540"/>
      <c r="X2299" s="540"/>
      <c r="Y2299" s="540"/>
      <c r="Z2299" s="540"/>
    </row>
    <row r="2300" spans="1:26" ht="19">
      <c r="A2300" s="631"/>
      <c r="B2300" s="631"/>
      <c r="C2300" s="631"/>
      <c r="D2300" s="832"/>
      <c r="E2300" s="631"/>
      <c r="F2300" s="631"/>
      <c r="G2300" s="631"/>
      <c r="H2300" s="833"/>
      <c r="I2300" s="834"/>
      <c r="J2300" s="834"/>
      <c r="K2300" s="835"/>
      <c r="L2300" s="835"/>
      <c r="M2300" s="835"/>
      <c r="N2300" s="835"/>
      <c r="O2300" s="835"/>
      <c r="P2300" s="835"/>
      <c r="Q2300" s="540"/>
      <c r="R2300" s="540"/>
      <c r="S2300" s="540"/>
      <c r="T2300" s="540"/>
      <c r="U2300" s="540"/>
      <c r="V2300" s="540"/>
      <c r="W2300" s="540"/>
      <c r="X2300" s="540"/>
      <c r="Y2300" s="540"/>
      <c r="Z2300" s="540"/>
    </row>
    <row r="2301" spans="1:26" ht="19">
      <c r="A2301" s="631"/>
      <c r="B2301" s="631"/>
      <c r="C2301" s="631"/>
      <c r="D2301" s="832"/>
      <c r="E2301" s="631"/>
      <c r="F2301" s="631"/>
      <c r="G2301" s="631"/>
      <c r="H2301" s="833"/>
      <c r="I2301" s="834"/>
      <c r="J2301" s="834"/>
      <c r="K2301" s="835"/>
      <c r="L2301" s="835"/>
      <c r="M2301" s="835"/>
      <c r="N2301" s="835"/>
      <c r="O2301" s="835"/>
      <c r="P2301" s="835"/>
      <c r="Q2301" s="540"/>
      <c r="R2301" s="540"/>
      <c r="S2301" s="540"/>
      <c r="T2301" s="540"/>
      <c r="U2301" s="540"/>
      <c r="V2301" s="540"/>
      <c r="W2301" s="540"/>
      <c r="X2301" s="540"/>
      <c r="Y2301" s="540"/>
      <c r="Z2301" s="540"/>
    </row>
    <row r="2302" spans="1:26" ht="19">
      <c r="A2302" s="631"/>
      <c r="B2302" s="631"/>
      <c r="C2302" s="631"/>
      <c r="D2302" s="832"/>
      <c r="E2302" s="631"/>
      <c r="F2302" s="631"/>
      <c r="G2302" s="631"/>
      <c r="H2302" s="833"/>
      <c r="I2302" s="834"/>
      <c r="J2302" s="834"/>
      <c r="K2302" s="835"/>
      <c r="L2302" s="835"/>
      <c r="M2302" s="835"/>
      <c r="N2302" s="835"/>
      <c r="O2302" s="835"/>
      <c r="P2302" s="835"/>
      <c r="Q2302" s="540"/>
      <c r="R2302" s="540"/>
      <c r="S2302" s="540"/>
      <c r="T2302" s="540"/>
      <c r="U2302" s="540"/>
      <c r="V2302" s="540"/>
      <c r="W2302" s="540"/>
      <c r="X2302" s="540"/>
      <c r="Y2302" s="540"/>
      <c r="Z2302" s="540"/>
    </row>
    <row r="2303" spans="1:26" ht="19">
      <c r="A2303" s="631"/>
      <c r="B2303" s="631"/>
      <c r="C2303" s="631"/>
      <c r="D2303" s="832"/>
      <c r="E2303" s="631"/>
      <c r="F2303" s="631"/>
      <c r="G2303" s="631"/>
      <c r="H2303" s="833"/>
      <c r="I2303" s="834"/>
      <c r="J2303" s="834"/>
      <c r="K2303" s="835"/>
      <c r="L2303" s="835"/>
      <c r="M2303" s="835"/>
      <c r="N2303" s="835"/>
      <c r="O2303" s="835"/>
      <c r="P2303" s="835"/>
      <c r="Q2303" s="540"/>
      <c r="R2303" s="540"/>
      <c r="S2303" s="540"/>
      <c r="T2303" s="540"/>
      <c r="U2303" s="540"/>
      <c r="V2303" s="540"/>
      <c r="W2303" s="540"/>
      <c r="X2303" s="540"/>
      <c r="Y2303" s="540"/>
      <c r="Z2303" s="540"/>
    </row>
    <row r="2304" spans="1:26" ht="19">
      <c r="A2304" s="631"/>
      <c r="B2304" s="631"/>
      <c r="C2304" s="631"/>
      <c r="D2304" s="832"/>
      <c r="E2304" s="631"/>
      <c r="F2304" s="631"/>
      <c r="G2304" s="631"/>
      <c r="H2304" s="833"/>
      <c r="I2304" s="834"/>
      <c r="J2304" s="834"/>
      <c r="K2304" s="835"/>
      <c r="L2304" s="835"/>
      <c r="M2304" s="835"/>
      <c r="N2304" s="835"/>
      <c r="O2304" s="835"/>
      <c r="P2304" s="835"/>
      <c r="Q2304" s="540"/>
      <c r="R2304" s="540"/>
      <c r="S2304" s="540"/>
      <c r="T2304" s="540"/>
      <c r="U2304" s="540"/>
      <c r="V2304" s="540"/>
      <c r="W2304" s="540"/>
      <c r="X2304" s="540"/>
      <c r="Y2304" s="540"/>
      <c r="Z2304" s="540"/>
    </row>
    <row r="2305" spans="1:26" ht="19">
      <c r="A2305" s="631"/>
      <c r="B2305" s="631"/>
      <c r="C2305" s="631"/>
      <c r="D2305" s="832"/>
      <c r="E2305" s="631"/>
      <c r="F2305" s="631"/>
      <c r="G2305" s="631"/>
      <c r="H2305" s="833"/>
      <c r="I2305" s="834"/>
      <c r="J2305" s="834"/>
      <c r="K2305" s="835"/>
      <c r="L2305" s="835"/>
      <c r="M2305" s="835"/>
      <c r="N2305" s="835"/>
      <c r="O2305" s="835"/>
      <c r="P2305" s="835"/>
      <c r="Q2305" s="540"/>
      <c r="R2305" s="540"/>
      <c r="S2305" s="540"/>
      <c r="T2305" s="540"/>
      <c r="U2305" s="540"/>
      <c r="V2305" s="540"/>
      <c r="W2305" s="540"/>
      <c r="X2305" s="540"/>
      <c r="Y2305" s="540"/>
      <c r="Z2305" s="540"/>
    </row>
    <row r="2306" spans="1:26" ht="19">
      <c r="A2306" s="631"/>
      <c r="B2306" s="631"/>
      <c r="C2306" s="631"/>
      <c r="D2306" s="832"/>
      <c r="E2306" s="631"/>
      <c r="F2306" s="631"/>
      <c r="G2306" s="631"/>
      <c r="H2306" s="833"/>
      <c r="I2306" s="834"/>
      <c r="J2306" s="834"/>
      <c r="K2306" s="835"/>
      <c r="L2306" s="835"/>
      <c r="M2306" s="835"/>
      <c r="N2306" s="835"/>
      <c r="O2306" s="835"/>
      <c r="P2306" s="835"/>
      <c r="Q2306" s="540"/>
      <c r="R2306" s="540"/>
      <c r="S2306" s="540"/>
      <c r="T2306" s="540"/>
      <c r="U2306" s="540"/>
      <c r="V2306" s="540"/>
      <c r="W2306" s="540"/>
      <c r="X2306" s="540"/>
      <c r="Y2306" s="540"/>
      <c r="Z2306" s="540"/>
    </row>
    <row r="2307" spans="1:26" ht="19">
      <c r="A2307" s="631"/>
      <c r="B2307" s="631"/>
      <c r="C2307" s="631"/>
      <c r="D2307" s="832"/>
      <c r="E2307" s="631"/>
      <c r="F2307" s="631"/>
      <c r="G2307" s="631"/>
      <c r="H2307" s="833"/>
      <c r="I2307" s="834"/>
      <c r="J2307" s="834"/>
      <c r="K2307" s="835"/>
      <c r="L2307" s="835"/>
      <c r="M2307" s="835"/>
      <c r="N2307" s="835"/>
      <c r="O2307" s="835"/>
      <c r="P2307" s="835"/>
      <c r="Q2307" s="540"/>
      <c r="R2307" s="540"/>
      <c r="S2307" s="540"/>
      <c r="T2307" s="540"/>
      <c r="U2307" s="540"/>
      <c r="V2307" s="540"/>
      <c r="W2307" s="540"/>
      <c r="X2307" s="540"/>
      <c r="Y2307" s="540"/>
      <c r="Z2307" s="540"/>
    </row>
    <row r="2308" spans="1:26" ht="19">
      <c r="A2308" s="631"/>
      <c r="B2308" s="631"/>
      <c r="C2308" s="631"/>
      <c r="D2308" s="832"/>
      <c r="E2308" s="631"/>
      <c r="F2308" s="631"/>
      <c r="G2308" s="631"/>
      <c r="H2308" s="833"/>
      <c r="I2308" s="834"/>
      <c r="J2308" s="834"/>
      <c r="K2308" s="835"/>
      <c r="L2308" s="835"/>
      <c r="M2308" s="835"/>
      <c r="N2308" s="835"/>
      <c r="O2308" s="835"/>
      <c r="P2308" s="835"/>
      <c r="Q2308" s="540"/>
      <c r="R2308" s="540"/>
      <c r="S2308" s="540"/>
      <c r="T2308" s="540"/>
      <c r="U2308" s="540"/>
      <c r="V2308" s="540"/>
      <c r="W2308" s="540"/>
      <c r="X2308" s="540"/>
      <c r="Y2308" s="540"/>
      <c r="Z2308" s="540"/>
    </row>
    <row r="2309" spans="1:26" ht="19">
      <c r="A2309" s="631"/>
      <c r="B2309" s="631"/>
      <c r="C2309" s="631"/>
      <c r="D2309" s="832"/>
      <c r="E2309" s="631"/>
      <c r="F2309" s="631"/>
      <c r="G2309" s="631"/>
      <c r="H2309" s="833"/>
      <c r="I2309" s="834"/>
      <c r="J2309" s="834"/>
      <c r="K2309" s="835"/>
      <c r="L2309" s="835"/>
      <c r="M2309" s="835"/>
      <c r="N2309" s="835"/>
      <c r="O2309" s="835"/>
      <c r="P2309" s="835"/>
      <c r="Q2309" s="540"/>
      <c r="R2309" s="540"/>
      <c r="S2309" s="540"/>
      <c r="T2309" s="540"/>
      <c r="U2309" s="540"/>
      <c r="V2309" s="540"/>
      <c r="W2309" s="540"/>
      <c r="X2309" s="540"/>
      <c r="Y2309" s="540"/>
      <c r="Z2309" s="540"/>
    </row>
    <row r="2310" spans="1:26" ht="19">
      <c r="A2310" s="631"/>
      <c r="B2310" s="631"/>
      <c r="C2310" s="631"/>
      <c r="D2310" s="832"/>
      <c r="E2310" s="631"/>
      <c r="F2310" s="631"/>
      <c r="G2310" s="631"/>
      <c r="H2310" s="833"/>
      <c r="I2310" s="834"/>
      <c r="J2310" s="834"/>
      <c r="K2310" s="835"/>
      <c r="L2310" s="835"/>
      <c r="M2310" s="835"/>
      <c r="N2310" s="835"/>
      <c r="O2310" s="835"/>
      <c r="P2310" s="835"/>
      <c r="Q2310" s="540"/>
      <c r="R2310" s="540"/>
      <c r="S2310" s="540"/>
      <c r="T2310" s="540"/>
      <c r="U2310" s="540"/>
      <c r="V2310" s="540"/>
      <c r="W2310" s="540"/>
      <c r="X2310" s="540"/>
      <c r="Y2310" s="540"/>
      <c r="Z2310" s="540"/>
    </row>
    <row r="2311" spans="1:26" ht="19">
      <c r="A2311" s="631"/>
      <c r="B2311" s="631"/>
      <c r="C2311" s="631"/>
      <c r="D2311" s="832"/>
      <c r="E2311" s="631"/>
      <c r="F2311" s="631"/>
      <c r="G2311" s="631"/>
      <c r="H2311" s="833"/>
      <c r="I2311" s="834"/>
      <c r="J2311" s="834"/>
      <c r="K2311" s="835"/>
      <c r="L2311" s="835"/>
      <c r="M2311" s="835"/>
      <c r="N2311" s="835"/>
      <c r="O2311" s="835"/>
      <c r="P2311" s="835"/>
      <c r="Q2311" s="540"/>
      <c r="R2311" s="540"/>
      <c r="S2311" s="540"/>
      <c r="T2311" s="540"/>
      <c r="U2311" s="540"/>
      <c r="V2311" s="540"/>
      <c r="W2311" s="540"/>
      <c r="X2311" s="540"/>
      <c r="Y2311" s="540"/>
      <c r="Z2311" s="540"/>
    </row>
    <row r="2312" spans="1:26" ht="19">
      <c r="A2312" s="631"/>
      <c r="B2312" s="631"/>
      <c r="C2312" s="631"/>
      <c r="D2312" s="832"/>
      <c r="E2312" s="631"/>
      <c r="F2312" s="631"/>
      <c r="G2312" s="631"/>
      <c r="H2312" s="833"/>
      <c r="I2312" s="834"/>
      <c r="J2312" s="834"/>
      <c r="K2312" s="835"/>
      <c r="L2312" s="835"/>
      <c r="M2312" s="835"/>
      <c r="N2312" s="835"/>
      <c r="O2312" s="835"/>
      <c r="P2312" s="835"/>
      <c r="Q2312" s="540"/>
      <c r="R2312" s="540"/>
      <c r="S2312" s="540"/>
      <c r="T2312" s="540"/>
      <c r="U2312" s="540"/>
      <c r="V2312" s="540"/>
      <c r="W2312" s="540"/>
      <c r="X2312" s="540"/>
      <c r="Y2312" s="540"/>
      <c r="Z2312" s="540"/>
    </row>
    <row r="2313" spans="1:26" ht="19">
      <c r="A2313" s="631"/>
      <c r="B2313" s="631"/>
      <c r="C2313" s="631"/>
      <c r="D2313" s="832"/>
      <c r="E2313" s="631"/>
      <c r="F2313" s="631"/>
      <c r="G2313" s="631"/>
      <c r="H2313" s="833"/>
      <c r="I2313" s="834"/>
      <c r="J2313" s="834"/>
      <c r="K2313" s="835"/>
      <c r="L2313" s="835"/>
      <c r="M2313" s="835"/>
      <c r="N2313" s="835"/>
      <c r="O2313" s="835"/>
      <c r="P2313" s="835"/>
      <c r="Q2313" s="540"/>
      <c r="R2313" s="540"/>
      <c r="S2313" s="540"/>
      <c r="T2313" s="540"/>
      <c r="U2313" s="540"/>
      <c r="V2313" s="540"/>
      <c r="W2313" s="540"/>
      <c r="X2313" s="540"/>
      <c r="Y2313" s="540"/>
      <c r="Z2313" s="540"/>
    </row>
    <row r="2314" spans="1:26" ht="19">
      <c r="A2314" s="631"/>
      <c r="B2314" s="631"/>
      <c r="C2314" s="631"/>
      <c r="D2314" s="832"/>
      <c r="E2314" s="631"/>
      <c r="F2314" s="631"/>
      <c r="G2314" s="631"/>
      <c r="H2314" s="833"/>
      <c r="I2314" s="834"/>
      <c r="J2314" s="834"/>
      <c r="K2314" s="835"/>
      <c r="L2314" s="835"/>
      <c r="M2314" s="835"/>
      <c r="N2314" s="835"/>
      <c r="O2314" s="835"/>
      <c r="P2314" s="835"/>
      <c r="Q2314" s="540"/>
      <c r="R2314" s="540"/>
      <c r="S2314" s="540"/>
      <c r="T2314" s="540"/>
      <c r="U2314" s="540"/>
      <c r="V2314" s="540"/>
      <c r="W2314" s="540"/>
      <c r="X2314" s="540"/>
      <c r="Y2314" s="540"/>
      <c r="Z2314" s="540"/>
    </row>
    <row r="2315" spans="1:26" ht="19">
      <c r="A2315" s="631"/>
      <c r="B2315" s="631"/>
      <c r="C2315" s="631"/>
      <c r="D2315" s="832"/>
      <c r="E2315" s="631"/>
      <c r="F2315" s="631"/>
      <c r="G2315" s="631"/>
      <c r="H2315" s="833"/>
      <c r="I2315" s="834"/>
      <c r="J2315" s="834"/>
      <c r="K2315" s="835"/>
      <c r="L2315" s="835"/>
      <c r="M2315" s="835"/>
      <c r="N2315" s="835"/>
      <c r="O2315" s="835"/>
      <c r="P2315" s="835"/>
      <c r="Q2315" s="540"/>
      <c r="R2315" s="540"/>
      <c r="S2315" s="540"/>
      <c r="T2315" s="540"/>
      <c r="U2315" s="540"/>
      <c r="V2315" s="540"/>
      <c r="W2315" s="540"/>
      <c r="X2315" s="540"/>
      <c r="Y2315" s="540"/>
      <c r="Z2315" s="540"/>
    </row>
    <row r="2316" spans="1:26" ht="19">
      <c r="A2316" s="631"/>
      <c r="B2316" s="631"/>
      <c r="C2316" s="631"/>
      <c r="D2316" s="832"/>
      <c r="E2316" s="631"/>
      <c r="F2316" s="631"/>
      <c r="G2316" s="631"/>
      <c r="H2316" s="833"/>
      <c r="I2316" s="834"/>
      <c r="J2316" s="834"/>
      <c r="K2316" s="835"/>
      <c r="L2316" s="835"/>
      <c r="M2316" s="835"/>
      <c r="N2316" s="835"/>
      <c r="O2316" s="835"/>
      <c r="P2316" s="835"/>
      <c r="Q2316" s="540"/>
      <c r="R2316" s="540"/>
      <c r="S2316" s="540"/>
      <c r="T2316" s="540"/>
      <c r="U2316" s="540"/>
      <c r="V2316" s="540"/>
      <c r="W2316" s="540"/>
      <c r="X2316" s="540"/>
      <c r="Y2316" s="540"/>
      <c r="Z2316" s="540"/>
    </row>
    <row r="2317" spans="1:26" ht="19">
      <c r="A2317" s="631"/>
      <c r="B2317" s="631"/>
      <c r="C2317" s="631"/>
      <c r="D2317" s="832"/>
      <c r="E2317" s="631"/>
      <c r="F2317" s="631"/>
      <c r="G2317" s="631"/>
      <c r="H2317" s="833"/>
      <c r="I2317" s="834"/>
      <c r="J2317" s="834"/>
      <c r="K2317" s="835"/>
      <c r="L2317" s="835"/>
      <c r="M2317" s="835"/>
      <c r="N2317" s="835"/>
      <c r="O2317" s="835"/>
      <c r="P2317" s="835"/>
      <c r="Q2317" s="540"/>
      <c r="R2317" s="540"/>
      <c r="S2317" s="540"/>
      <c r="T2317" s="540"/>
      <c r="U2317" s="540"/>
      <c r="V2317" s="540"/>
      <c r="W2317" s="540"/>
      <c r="X2317" s="540"/>
      <c r="Y2317" s="540"/>
      <c r="Z2317" s="540"/>
    </row>
    <row r="2318" spans="1:26" ht="19">
      <c r="A2318" s="631"/>
      <c r="B2318" s="631"/>
      <c r="C2318" s="631"/>
      <c r="D2318" s="832"/>
      <c r="E2318" s="631"/>
      <c r="F2318" s="631"/>
      <c r="G2318" s="631"/>
      <c r="H2318" s="833"/>
      <c r="I2318" s="834"/>
      <c r="J2318" s="834"/>
      <c r="K2318" s="835"/>
      <c r="L2318" s="835"/>
      <c r="M2318" s="835"/>
      <c r="N2318" s="835"/>
      <c r="O2318" s="835"/>
      <c r="P2318" s="835"/>
      <c r="Q2318" s="540"/>
      <c r="R2318" s="540"/>
      <c r="S2318" s="540"/>
      <c r="T2318" s="540"/>
      <c r="U2318" s="540"/>
      <c r="V2318" s="540"/>
      <c r="W2318" s="540"/>
      <c r="X2318" s="540"/>
      <c r="Y2318" s="540"/>
      <c r="Z2318" s="540"/>
    </row>
    <row r="2319" spans="1:26" ht="19">
      <c r="A2319" s="631"/>
      <c r="B2319" s="631"/>
      <c r="C2319" s="631"/>
      <c r="D2319" s="832"/>
      <c r="E2319" s="631"/>
      <c r="F2319" s="631"/>
      <c r="G2319" s="631"/>
      <c r="H2319" s="833"/>
      <c r="I2319" s="834"/>
      <c r="J2319" s="834"/>
      <c r="K2319" s="835"/>
      <c r="L2319" s="835"/>
      <c r="M2319" s="835"/>
      <c r="N2319" s="835"/>
      <c r="O2319" s="835"/>
      <c r="P2319" s="835"/>
      <c r="Q2319" s="540"/>
      <c r="R2319" s="540"/>
      <c r="S2319" s="540"/>
      <c r="T2319" s="540"/>
      <c r="U2319" s="540"/>
      <c r="V2319" s="540"/>
      <c r="W2319" s="540"/>
      <c r="X2319" s="540"/>
      <c r="Y2319" s="540"/>
      <c r="Z2319" s="540"/>
    </row>
    <row r="2320" spans="1:26" ht="19">
      <c r="A2320" s="631"/>
      <c r="B2320" s="631"/>
      <c r="C2320" s="631"/>
      <c r="D2320" s="832"/>
      <c r="E2320" s="631"/>
      <c r="F2320" s="631"/>
      <c r="G2320" s="631"/>
      <c r="H2320" s="833"/>
      <c r="I2320" s="834"/>
      <c r="J2320" s="834"/>
      <c r="K2320" s="835"/>
      <c r="L2320" s="835"/>
      <c r="M2320" s="835"/>
      <c r="N2320" s="835"/>
      <c r="O2320" s="835"/>
      <c r="P2320" s="835"/>
      <c r="Q2320" s="540"/>
      <c r="R2320" s="540"/>
      <c r="S2320" s="540"/>
      <c r="T2320" s="540"/>
      <c r="U2320" s="540"/>
      <c r="V2320" s="540"/>
      <c r="W2320" s="540"/>
      <c r="X2320" s="540"/>
      <c r="Y2320" s="540"/>
      <c r="Z2320" s="540"/>
    </row>
    <row r="2321" spans="1:26" ht="19">
      <c r="A2321" s="631"/>
      <c r="B2321" s="631"/>
      <c r="C2321" s="631"/>
      <c r="D2321" s="832"/>
      <c r="E2321" s="631"/>
      <c r="F2321" s="631"/>
      <c r="G2321" s="631"/>
      <c r="H2321" s="833"/>
      <c r="I2321" s="834"/>
      <c r="J2321" s="834"/>
      <c r="K2321" s="835"/>
      <c r="L2321" s="835"/>
      <c r="M2321" s="835"/>
      <c r="N2321" s="835"/>
      <c r="O2321" s="835"/>
      <c r="P2321" s="835"/>
      <c r="Q2321" s="540"/>
      <c r="R2321" s="540"/>
      <c r="S2321" s="540"/>
      <c r="T2321" s="540"/>
      <c r="U2321" s="540"/>
      <c r="V2321" s="540"/>
      <c r="W2321" s="540"/>
      <c r="X2321" s="540"/>
      <c r="Y2321" s="540"/>
      <c r="Z2321" s="540"/>
    </row>
    <row r="2322" spans="1:26" ht="19">
      <c r="A2322" s="631"/>
      <c r="B2322" s="631"/>
      <c r="C2322" s="631"/>
      <c r="D2322" s="832"/>
      <c r="E2322" s="631"/>
      <c r="F2322" s="631"/>
      <c r="G2322" s="631"/>
      <c r="H2322" s="833"/>
      <c r="I2322" s="834"/>
      <c r="J2322" s="834"/>
      <c r="K2322" s="835"/>
      <c r="L2322" s="835"/>
      <c r="M2322" s="835"/>
      <c r="N2322" s="835"/>
      <c r="O2322" s="835"/>
      <c r="P2322" s="835"/>
      <c r="Q2322" s="540"/>
      <c r="R2322" s="540"/>
      <c r="S2322" s="540"/>
      <c r="T2322" s="540"/>
      <c r="U2322" s="540"/>
      <c r="V2322" s="540"/>
      <c r="W2322" s="540"/>
      <c r="X2322" s="540"/>
      <c r="Y2322" s="540"/>
      <c r="Z2322" s="540"/>
    </row>
    <row r="2323" spans="1:26" ht="19">
      <c r="A2323" s="631"/>
      <c r="B2323" s="631"/>
      <c r="C2323" s="631"/>
      <c r="D2323" s="832"/>
      <c r="E2323" s="631"/>
      <c r="F2323" s="631"/>
      <c r="G2323" s="631"/>
      <c r="H2323" s="833"/>
      <c r="I2323" s="834"/>
      <c r="J2323" s="834"/>
      <c r="K2323" s="835"/>
      <c r="L2323" s="835"/>
      <c r="M2323" s="835"/>
      <c r="N2323" s="835"/>
      <c r="O2323" s="835"/>
      <c r="P2323" s="835"/>
      <c r="Q2323" s="540"/>
      <c r="R2323" s="540"/>
      <c r="S2323" s="540"/>
      <c r="T2323" s="540"/>
      <c r="U2323" s="540"/>
      <c r="V2323" s="540"/>
      <c r="W2323" s="540"/>
      <c r="X2323" s="540"/>
      <c r="Y2323" s="540"/>
      <c r="Z2323" s="540"/>
    </row>
    <row r="2324" spans="1:26" ht="19">
      <c r="A2324" s="631"/>
      <c r="B2324" s="631"/>
      <c r="C2324" s="631"/>
      <c r="D2324" s="832"/>
      <c r="E2324" s="631"/>
      <c r="F2324" s="631"/>
      <c r="G2324" s="631"/>
      <c r="H2324" s="833"/>
      <c r="I2324" s="834"/>
      <c r="J2324" s="834"/>
      <c r="K2324" s="835"/>
      <c r="L2324" s="835"/>
      <c r="M2324" s="835"/>
      <c r="N2324" s="835"/>
      <c r="O2324" s="835"/>
      <c r="P2324" s="835"/>
      <c r="Q2324" s="540"/>
      <c r="R2324" s="540"/>
      <c r="S2324" s="540"/>
      <c r="T2324" s="540"/>
      <c r="U2324" s="540"/>
      <c r="V2324" s="540"/>
      <c r="W2324" s="540"/>
      <c r="X2324" s="540"/>
      <c r="Y2324" s="540"/>
      <c r="Z2324" s="540"/>
    </row>
    <row r="2325" spans="1:26" ht="19">
      <c r="A2325" s="631"/>
      <c r="B2325" s="631"/>
      <c r="C2325" s="631"/>
      <c r="D2325" s="832"/>
      <c r="E2325" s="631"/>
      <c r="F2325" s="631"/>
      <c r="G2325" s="631"/>
      <c r="H2325" s="833"/>
      <c r="I2325" s="834"/>
      <c r="J2325" s="834"/>
      <c r="K2325" s="835"/>
      <c r="L2325" s="835"/>
      <c r="M2325" s="835"/>
      <c r="N2325" s="835"/>
      <c r="O2325" s="835"/>
      <c r="P2325" s="835"/>
      <c r="Q2325" s="540"/>
      <c r="R2325" s="540"/>
      <c r="S2325" s="540"/>
      <c r="T2325" s="540"/>
      <c r="U2325" s="540"/>
      <c r="V2325" s="540"/>
      <c r="W2325" s="540"/>
      <c r="X2325" s="540"/>
      <c r="Y2325" s="540"/>
      <c r="Z2325" s="540"/>
    </row>
    <row r="2326" spans="1:26" ht="19">
      <c r="A2326" s="631"/>
      <c r="B2326" s="631"/>
      <c r="C2326" s="631"/>
      <c r="D2326" s="832"/>
      <c r="E2326" s="631"/>
      <c r="F2326" s="631"/>
      <c r="G2326" s="631"/>
      <c r="H2326" s="833"/>
      <c r="I2326" s="834"/>
      <c r="J2326" s="834"/>
      <c r="K2326" s="835"/>
      <c r="L2326" s="835"/>
      <c r="M2326" s="835"/>
      <c r="N2326" s="835"/>
      <c r="O2326" s="835"/>
      <c r="P2326" s="835"/>
      <c r="Q2326" s="540"/>
      <c r="R2326" s="540"/>
      <c r="S2326" s="540"/>
      <c r="T2326" s="540"/>
      <c r="U2326" s="540"/>
      <c r="V2326" s="540"/>
      <c r="W2326" s="540"/>
      <c r="X2326" s="540"/>
      <c r="Y2326" s="540"/>
      <c r="Z2326" s="540"/>
    </row>
    <row r="2327" spans="1:26" ht="19">
      <c r="A2327" s="631"/>
      <c r="B2327" s="631"/>
      <c r="C2327" s="631"/>
      <c r="D2327" s="832"/>
      <c r="E2327" s="631"/>
      <c r="F2327" s="631"/>
      <c r="G2327" s="631"/>
      <c r="H2327" s="833"/>
      <c r="I2327" s="834"/>
      <c r="J2327" s="834"/>
      <c r="K2327" s="835"/>
      <c r="L2327" s="835"/>
      <c r="M2327" s="835"/>
      <c r="N2327" s="835"/>
      <c r="O2327" s="835"/>
      <c r="P2327" s="835"/>
      <c r="Q2327" s="540"/>
      <c r="R2327" s="540"/>
      <c r="S2327" s="540"/>
      <c r="T2327" s="540"/>
      <c r="U2327" s="540"/>
      <c r="V2327" s="540"/>
      <c r="W2327" s="540"/>
      <c r="X2327" s="540"/>
      <c r="Y2327" s="540"/>
      <c r="Z2327" s="540"/>
    </row>
    <row r="2328" spans="1:26" ht="19">
      <c r="A2328" s="631"/>
      <c r="B2328" s="631"/>
      <c r="C2328" s="631"/>
      <c r="D2328" s="832"/>
      <c r="E2328" s="631"/>
      <c r="F2328" s="631"/>
      <c r="G2328" s="631"/>
      <c r="H2328" s="833"/>
      <c r="I2328" s="834"/>
      <c r="J2328" s="834"/>
      <c r="K2328" s="835"/>
      <c r="L2328" s="835"/>
      <c r="M2328" s="835"/>
      <c r="N2328" s="835"/>
      <c r="O2328" s="835"/>
      <c r="P2328" s="835"/>
      <c r="Q2328" s="540"/>
      <c r="R2328" s="540"/>
      <c r="S2328" s="540"/>
      <c r="T2328" s="540"/>
      <c r="U2328" s="540"/>
      <c r="V2328" s="540"/>
      <c r="W2328" s="540"/>
      <c r="X2328" s="540"/>
      <c r="Y2328" s="540"/>
      <c r="Z2328" s="540"/>
    </row>
    <row r="2329" spans="1:26" ht="19">
      <c r="A2329" s="631"/>
      <c r="B2329" s="631"/>
      <c r="C2329" s="631"/>
      <c r="D2329" s="832"/>
      <c r="E2329" s="631"/>
      <c r="F2329" s="631"/>
      <c r="G2329" s="631"/>
      <c r="H2329" s="833"/>
      <c r="I2329" s="834"/>
      <c r="J2329" s="834"/>
      <c r="K2329" s="835"/>
      <c r="L2329" s="835"/>
      <c r="M2329" s="835"/>
      <c r="N2329" s="835"/>
      <c r="O2329" s="835"/>
      <c r="P2329" s="835"/>
      <c r="Q2329" s="540"/>
      <c r="R2329" s="540"/>
      <c r="S2329" s="540"/>
      <c r="T2329" s="540"/>
      <c r="U2329" s="540"/>
      <c r="V2329" s="540"/>
      <c r="W2329" s="540"/>
      <c r="X2329" s="540"/>
      <c r="Y2329" s="540"/>
      <c r="Z2329" s="540"/>
    </row>
    <row r="2330" spans="1:26" ht="19">
      <c r="A2330" s="631"/>
      <c r="B2330" s="631"/>
      <c r="C2330" s="631"/>
      <c r="D2330" s="832"/>
      <c r="E2330" s="631"/>
      <c r="F2330" s="631"/>
      <c r="G2330" s="631"/>
      <c r="H2330" s="833"/>
      <c r="I2330" s="834"/>
      <c r="J2330" s="834"/>
      <c r="K2330" s="835"/>
      <c r="L2330" s="835"/>
      <c r="M2330" s="835"/>
      <c r="N2330" s="835"/>
      <c r="O2330" s="835"/>
      <c r="P2330" s="835"/>
      <c r="Q2330" s="540"/>
      <c r="R2330" s="540"/>
      <c r="S2330" s="540"/>
      <c r="T2330" s="540"/>
      <c r="U2330" s="540"/>
      <c r="V2330" s="540"/>
      <c r="W2330" s="540"/>
      <c r="X2330" s="540"/>
      <c r="Y2330" s="540"/>
      <c r="Z2330" s="540"/>
    </row>
    <row r="2331" spans="1:26" ht="19">
      <c r="A2331" s="631"/>
      <c r="B2331" s="631"/>
      <c r="C2331" s="631"/>
      <c r="D2331" s="832"/>
      <c r="E2331" s="631"/>
      <c r="F2331" s="631"/>
      <c r="G2331" s="631"/>
      <c r="H2331" s="833"/>
      <c r="I2331" s="834"/>
      <c r="J2331" s="834"/>
      <c r="K2331" s="835"/>
      <c r="L2331" s="835"/>
      <c r="M2331" s="835"/>
      <c r="N2331" s="835"/>
      <c r="O2331" s="835"/>
      <c r="P2331" s="835"/>
      <c r="Q2331" s="540"/>
      <c r="R2331" s="540"/>
      <c r="S2331" s="540"/>
      <c r="T2331" s="540"/>
      <c r="U2331" s="540"/>
      <c r="V2331" s="540"/>
      <c r="W2331" s="540"/>
      <c r="X2331" s="540"/>
      <c r="Y2331" s="540"/>
      <c r="Z2331" s="540"/>
    </row>
    <row r="2332" spans="1:26" ht="19">
      <c r="A2332" s="631"/>
      <c r="B2332" s="631"/>
      <c r="C2332" s="631"/>
      <c r="D2332" s="832"/>
      <c r="E2332" s="631"/>
      <c r="F2332" s="631"/>
      <c r="G2332" s="631"/>
      <c r="H2332" s="833"/>
      <c r="I2332" s="834"/>
      <c r="J2332" s="834"/>
      <c r="K2332" s="835"/>
      <c r="L2332" s="835"/>
      <c r="M2332" s="835"/>
      <c r="N2332" s="835"/>
      <c r="O2332" s="835"/>
      <c r="P2332" s="835"/>
      <c r="Q2332" s="540"/>
      <c r="R2332" s="540"/>
      <c r="S2332" s="540"/>
      <c r="T2332" s="540"/>
      <c r="U2332" s="540"/>
      <c r="V2332" s="540"/>
      <c r="W2332" s="540"/>
      <c r="X2332" s="540"/>
      <c r="Y2332" s="540"/>
      <c r="Z2332" s="540"/>
    </row>
    <row r="2333" spans="1:26" ht="19">
      <c r="A2333" s="631"/>
      <c r="B2333" s="631"/>
      <c r="C2333" s="631"/>
      <c r="D2333" s="832"/>
      <c r="E2333" s="631"/>
      <c r="F2333" s="631"/>
      <c r="G2333" s="631"/>
      <c r="H2333" s="833"/>
      <c r="I2333" s="834"/>
      <c r="J2333" s="834"/>
      <c r="K2333" s="835"/>
      <c r="L2333" s="835"/>
      <c r="M2333" s="835"/>
      <c r="N2333" s="835"/>
      <c r="O2333" s="835"/>
      <c r="P2333" s="835"/>
      <c r="Q2333" s="540"/>
      <c r="R2333" s="540"/>
      <c r="S2333" s="540"/>
      <c r="T2333" s="540"/>
      <c r="U2333" s="540"/>
      <c r="V2333" s="540"/>
      <c r="W2333" s="540"/>
      <c r="X2333" s="540"/>
      <c r="Y2333" s="540"/>
      <c r="Z2333" s="540"/>
    </row>
    <row r="2334" spans="1:26" ht="19">
      <c r="A2334" s="631"/>
      <c r="B2334" s="631"/>
      <c r="C2334" s="631"/>
      <c r="D2334" s="832"/>
      <c r="E2334" s="631"/>
      <c r="F2334" s="631"/>
      <c r="G2334" s="631"/>
      <c r="H2334" s="833"/>
      <c r="I2334" s="834"/>
      <c r="J2334" s="834"/>
      <c r="K2334" s="835"/>
      <c r="L2334" s="835"/>
      <c r="M2334" s="835"/>
      <c r="N2334" s="835"/>
      <c r="O2334" s="835"/>
      <c r="P2334" s="835"/>
      <c r="Q2334" s="540"/>
      <c r="R2334" s="540"/>
      <c r="S2334" s="540"/>
      <c r="T2334" s="540"/>
      <c r="U2334" s="540"/>
      <c r="V2334" s="540"/>
      <c r="W2334" s="540"/>
      <c r="X2334" s="540"/>
      <c r="Y2334" s="540"/>
      <c r="Z2334" s="540"/>
    </row>
    <row r="2335" spans="1:26" ht="19">
      <c r="A2335" s="631"/>
      <c r="B2335" s="631"/>
      <c r="C2335" s="631"/>
      <c r="D2335" s="832"/>
      <c r="E2335" s="631"/>
      <c r="F2335" s="631"/>
      <c r="G2335" s="631"/>
      <c r="H2335" s="833"/>
      <c r="I2335" s="834"/>
      <c r="J2335" s="834"/>
      <c r="K2335" s="835"/>
      <c r="L2335" s="835"/>
      <c r="M2335" s="835"/>
      <c r="N2335" s="835"/>
      <c r="O2335" s="835"/>
      <c r="P2335" s="835"/>
      <c r="Q2335" s="540"/>
      <c r="R2335" s="540"/>
      <c r="S2335" s="540"/>
      <c r="T2335" s="540"/>
      <c r="U2335" s="540"/>
      <c r="V2335" s="540"/>
      <c r="W2335" s="540"/>
      <c r="X2335" s="540"/>
      <c r="Y2335" s="540"/>
      <c r="Z2335" s="540"/>
    </row>
    <row r="2336" spans="1:26" ht="19">
      <c r="A2336" s="631"/>
      <c r="B2336" s="631"/>
      <c r="C2336" s="631"/>
      <c r="D2336" s="832"/>
      <c r="E2336" s="631"/>
      <c r="F2336" s="631"/>
      <c r="G2336" s="631"/>
      <c r="H2336" s="833"/>
      <c r="I2336" s="834"/>
      <c r="J2336" s="834"/>
      <c r="K2336" s="835"/>
      <c r="L2336" s="835"/>
      <c r="M2336" s="835"/>
      <c r="N2336" s="835"/>
      <c r="O2336" s="835"/>
      <c r="P2336" s="835"/>
      <c r="Q2336" s="540"/>
      <c r="R2336" s="540"/>
      <c r="S2336" s="540"/>
      <c r="T2336" s="540"/>
      <c r="U2336" s="540"/>
      <c r="V2336" s="540"/>
      <c r="W2336" s="540"/>
      <c r="X2336" s="540"/>
      <c r="Y2336" s="540"/>
      <c r="Z2336" s="540"/>
    </row>
    <row r="2337" spans="1:26" ht="19">
      <c r="A2337" s="631"/>
      <c r="B2337" s="631"/>
      <c r="C2337" s="631"/>
      <c r="D2337" s="832"/>
      <c r="E2337" s="631"/>
      <c r="F2337" s="631"/>
      <c r="G2337" s="631"/>
      <c r="H2337" s="833"/>
      <c r="I2337" s="834"/>
      <c r="J2337" s="834"/>
      <c r="K2337" s="835"/>
      <c r="L2337" s="835"/>
      <c r="M2337" s="835"/>
      <c r="N2337" s="835"/>
      <c r="O2337" s="835"/>
      <c r="P2337" s="835"/>
      <c r="Q2337" s="540"/>
      <c r="R2337" s="540"/>
      <c r="S2337" s="540"/>
      <c r="T2337" s="540"/>
      <c r="U2337" s="540"/>
      <c r="V2337" s="540"/>
      <c r="W2337" s="540"/>
      <c r="X2337" s="540"/>
      <c r="Y2337" s="540"/>
      <c r="Z2337" s="540"/>
    </row>
    <row r="2338" spans="1:26" ht="19">
      <c r="A2338" s="631"/>
      <c r="B2338" s="631"/>
      <c r="C2338" s="631"/>
      <c r="D2338" s="832"/>
      <c r="E2338" s="631"/>
      <c r="F2338" s="631"/>
      <c r="G2338" s="631"/>
      <c r="H2338" s="833"/>
      <c r="I2338" s="834"/>
      <c r="J2338" s="834"/>
      <c r="K2338" s="835"/>
      <c r="L2338" s="835"/>
      <c r="M2338" s="835"/>
      <c r="N2338" s="835"/>
      <c r="O2338" s="835"/>
      <c r="P2338" s="835"/>
      <c r="Q2338" s="540"/>
      <c r="R2338" s="540"/>
      <c r="S2338" s="540"/>
      <c r="T2338" s="540"/>
      <c r="U2338" s="540"/>
      <c r="V2338" s="540"/>
      <c r="W2338" s="540"/>
      <c r="X2338" s="540"/>
      <c r="Y2338" s="540"/>
      <c r="Z2338" s="540"/>
    </row>
    <row r="2339" spans="1:26" ht="19">
      <c r="A2339" s="631"/>
      <c r="B2339" s="631"/>
      <c r="C2339" s="631"/>
      <c r="D2339" s="832"/>
      <c r="E2339" s="631"/>
      <c r="F2339" s="631"/>
      <c r="G2339" s="631"/>
      <c r="H2339" s="833"/>
      <c r="I2339" s="834"/>
      <c r="J2339" s="834"/>
      <c r="K2339" s="835"/>
      <c r="L2339" s="835"/>
      <c r="M2339" s="835"/>
      <c r="N2339" s="835"/>
      <c r="O2339" s="835"/>
      <c r="P2339" s="835"/>
      <c r="Q2339" s="540"/>
      <c r="R2339" s="540"/>
      <c r="S2339" s="540"/>
      <c r="T2339" s="540"/>
      <c r="U2339" s="540"/>
      <c r="V2339" s="540"/>
      <c r="W2339" s="540"/>
      <c r="X2339" s="540"/>
      <c r="Y2339" s="540"/>
      <c r="Z2339" s="540"/>
    </row>
    <row r="2340" spans="1:26" ht="19">
      <c r="A2340" s="631"/>
      <c r="B2340" s="631"/>
      <c r="C2340" s="631"/>
      <c r="D2340" s="832"/>
      <c r="E2340" s="631"/>
      <c r="F2340" s="631"/>
      <c r="G2340" s="631"/>
      <c r="H2340" s="833"/>
      <c r="I2340" s="834"/>
      <c r="J2340" s="834"/>
      <c r="K2340" s="835"/>
      <c r="L2340" s="835"/>
      <c r="M2340" s="835"/>
      <c r="N2340" s="835"/>
      <c r="O2340" s="835"/>
      <c r="P2340" s="835"/>
      <c r="Q2340" s="540"/>
      <c r="R2340" s="540"/>
      <c r="S2340" s="540"/>
      <c r="T2340" s="540"/>
      <c r="U2340" s="540"/>
      <c r="V2340" s="540"/>
      <c r="W2340" s="540"/>
      <c r="X2340" s="540"/>
      <c r="Y2340" s="540"/>
      <c r="Z2340" s="540"/>
    </row>
    <row r="2341" spans="1:26" ht="19">
      <c r="A2341" s="631"/>
      <c r="B2341" s="631"/>
      <c r="C2341" s="631"/>
      <c r="D2341" s="832"/>
      <c r="E2341" s="631"/>
      <c r="F2341" s="631"/>
      <c r="G2341" s="631"/>
      <c r="H2341" s="833"/>
      <c r="I2341" s="834"/>
      <c r="J2341" s="834"/>
      <c r="K2341" s="835"/>
      <c r="L2341" s="835"/>
      <c r="M2341" s="835"/>
      <c r="N2341" s="835"/>
      <c r="O2341" s="835"/>
      <c r="P2341" s="835"/>
      <c r="Q2341" s="540"/>
      <c r="R2341" s="540"/>
      <c r="S2341" s="540"/>
      <c r="T2341" s="540"/>
      <c r="U2341" s="540"/>
      <c r="V2341" s="540"/>
      <c r="W2341" s="540"/>
      <c r="X2341" s="540"/>
      <c r="Y2341" s="540"/>
      <c r="Z2341" s="540"/>
    </row>
    <row r="2342" spans="1:26" ht="19">
      <c r="A2342" s="631"/>
      <c r="B2342" s="631"/>
      <c r="C2342" s="631"/>
      <c r="D2342" s="832"/>
      <c r="E2342" s="631"/>
      <c r="F2342" s="631"/>
      <c r="G2342" s="631"/>
      <c r="H2342" s="833"/>
      <c r="I2342" s="834"/>
      <c r="J2342" s="834"/>
      <c r="K2342" s="835"/>
      <c r="L2342" s="835"/>
      <c r="M2342" s="835"/>
      <c r="N2342" s="835"/>
      <c r="O2342" s="835"/>
      <c r="P2342" s="835"/>
      <c r="Q2342" s="540"/>
      <c r="R2342" s="540"/>
      <c r="S2342" s="540"/>
      <c r="T2342" s="540"/>
      <c r="U2342" s="540"/>
      <c r="V2342" s="540"/>
      <c r="W2342" s="540"/>
      <c r="X2342" s="540"/>
      <c r="Y2342" s="540"/>
      <c r="Z2342" s="540"/>
    </row>
    <row r="2343" spans="1:26" ht="19">
      <c r="A2343" s="631"/>
      <c r="B2343" s="631"/>
      <c r="C2343" s="631"/>
      <c r="D2343" s="832"/>
      <c r="E2343" s="631"/>
      <c r="F2343" s="631"/>
      <c r="G2343" s="631"/>
      <c r="H2343" s="833"/>
      <c r="I2343" s="834"/>
      <c r="J2343" s="834"/>
      <c r="K2343" s="835"/>
      <c r="L2343" s="835"/>
      <c r="M2343" s="835"/>
      <c r="N2343" s="835"/>
      <c r="O2343" s="835"/>
      <c r="P2343" s="835"/>
      <c r="Q2343" s="540"/>
      <c r="R2343" s="540"/>
      <c r="S2343" s="540"/>
      <c r="T2343" s="540"/>
      <c r="U2343" s="540"/>
      <c r="V2343" s="540"/>
      <c r="W2343" s="540"/>
      <c r="X2343" s="540"/>
      <c r="Y2343" s="540"/>
      <c r="Z2343" s="540"/>
    </row>
    <row r="2344" spans="1:26" ht="19">
      <c r="A2344" s="631"/>
      <c r="B2344" s="631"/>
      <c r="C2344" s="631"/>
      <c r="D2344" s="832"/>
      <c r="E2344" s="631"/>
      <c r="F2344" s="631"/>
      <c r="G2344" s="631"/>
      <c r="H2344" s="833"/>
      <c r="I2344" s="834"/>
      <c r="J2344" s="834"/>
      <c r="K2344" s="835"/>
      <c r="L2344" s="835"/>
      <c r="M2344" s="835"/>
      <c r="N2344" s="835"/>
      <c r="O2344" s="835"/>
      <c r="P2344" s="835"/>
      <c r="Q2344" s="540"/>
      <c r="R2344" s="540"/>
      <c r="S2344" s="540"/>
      <c r="T2344" s="540"/>
      <c r="U2344" s="540"/>
      <c r="V2344" s="540"/>
      <c r="W2344" s="540"/>
      <c r="X2344" s="540"/>
      <c r="Y2344" s="540"/>
      <c r="Z2344" s="540"/>
    </row>
    <row r="2345" spans="1:26" ht="19">
      <c r="A2345" s="631"/>
      <c r="B2345" s="631"/>
      <c r="C2345" s="631"/>
      <c r="D2345" s="832"/>
      <c r="E2345" s="631"/>
      <c r="F2345" s="631"/>
      <c r="G2345" s="631"/>
      <c r="H2345" s="833"/>
      <c r="I2345" s="834"/>
      <c r="J2345" s="834"/>
      <c r="K2345" s="835"/>
      <c r="L2345" s="835"/>
      <c r="M2345" s="835"/>
      <c r="N2345" s="835"/>
      <c r="O2345" s="835"/>
      <c r="P2345" s="835"/>
      <c r="Q2345" s="540"/>
      <c r="R2345" s="540"/>
      <c r="S2345" s="540"/>
      <c r="T2345" s="540"/>
      <c r="U2345" s="540"/>
      <c r="V2345" s="540"/>
      <c r="W2345" s="540"/>
      <c r="X2345" s="540"/>
      <c r="Y2345" s="540"/>
      <c r="Z2345" s="540"/>
    </row>
    <row r="2346" spans="1:26" ht="19">
      <c r="A2346" s="631"/>
      <c r="B2346" s="631"/>
      <c r="C2346" s="631"/>
      <c r="D2346" s="832"/>
      <c r="E2346" s="631"/>
      <c r="F2346" s="631"/>
      <c r="G2346" s="631"/>
      <c r="H2346" s="833"/>
      <c r="I2346" s="834"/>
      <c r="J2346" s="834"/>
      <c r="K2346" s="835"/>
      <c r="L2346" s="835"/>
      <c r="M2346" s="835"/>
      <c r="N2346" s="835"/>
      <c r="O2346" s="835"/>
      <c r="P2346" s="835"/>
      <c r="Q2346" s="540"/>
      <c r="R2346" s="540"/>
      <c r="S2346" s="540"/>
      <c r="T2346" s="540"/>
      <c r="U2346" s="540"/>
      <c r="V2346" s="540"/>
      <c r="W2346" s="540"/>
      <c r="X2346" s="540"/>
      <c r="Y2346" s="540"/>
      <c r="Z2346" s="540"/>
    </row>
    <row r="2347" spans="1:26" ht="19">
      <c r="A2347" s="631"/>
      <c r="B2347" s="631"/>
      <c r="C2347" s="631"/>
      <c r="D2347" s="832"/>
      <c r="E2347" s="631"/>
      <c r="F2347" s="631"/>
      <c r="G2347" s="631"/>
      <c r="H2347" s="833"/>
      <c r="I2347" s="834"/>
      <c r="J2347" s="834"/>
      <c r="K2347" s="835"/>
      <c r="L2347" s="835"/>
      <c r="M2347" s="835"/>
      <c r="N2347" s="835"/>
      <c r="O2347" s="835"/>
      <c r="P2347" s="835"/>
      <c r="Q2347" s="540"/>
      <c r="R2347" s="540"/>
      <c r="S2347" s="540"/>
      <c r="T2347" s="540"/>
      <c r="U2347" s="540"/>
      <c r="V2347" s="540"/>
      <c r="W2347" s="540"/>
      <c r="X2347" s="540"/>
      <c r="Y2347" s="540"/>
      <c r="Z2347" s="540"/>
    </row>
    <row r="2348" spans="1:26" ht="19">
      <c r="A2348" s="631"/>
      <c r="B2348" s="631"/>
      <c r="C2348" s="631"/>
      <c r="D2348" s="832"/>
      <c r="E2348" s="631"/>
      <c r="F2348" s="631"/>
      <c r="G2348" s="631"/>
      <c r="H2348" s="833"/>
      <c r="I2348" s="834"/>
      <c r="J2348" s="834"/>
      <c r="K2348" s="835"/>
      <c r="L2348" s="835"/>
      <c r="M2348" s="835"/>
      <c r="N2348" s="835"/>
      <c r="O2348" s="835"/>
      <c r="P2348" s="835"/>
      <c r="Q2348" s="540"/>
      <c r="R2348" s="540"/>
      <c r="S2348" s="540"/>
      <c r="T2348" s="540"/>
      <c r="U2348" s="540"/>
      <c r="V2348" s="540"/>
      <c r="W2348" s="540"/>
      <c r="X2348" s="540"/>
      <c r="Y2348" s="540"/>
      <c r="Z2348" s="540"/>
    </row>
    <row r="2349" spans="1:26" ht="19">
      <c r="A2349" s="631"/>
      <c r="B2349" s="631"/>
      <c r="C2349" s="631"/>
      <c r="D2349" s="832"/>
      <c r="E2349" s="631"/>
      <c r="F2349" s="631"/>
      <c r="G2349" s="631"/>
      <c r="H2349" s="833"/>
      <c r="I2349" s="834"/>
      <c r="J2349" s="834"/>
      <c r="K2349" s="835"/>
      <c r="L2349" s="835"/>
      <c r="M2349" s="835"/>
      <c r="N2349" s="835"/>
      <c r="O2349" s="835"/>
      <c r="P2349" s="835"/>
      <c r="Q2349" s="540"/>
      <c r="R2349" s="540"/>
      <c r="S2349" s="540"/>
      <c r="T2349" s="540"/>
      <c r="U2349" s="540"/>
      <c r="V2349" s="540"/>
      <c r="W2349" s="540"/>
      <c r="X2349" s="540"/>
      <c r="Y2349" s="540"/>
      <c r="Z2349" s="540"/>
    </row>
    <row r="2350" spans="1:26" ht="19">
      <c r="A2350" s="631"/>
      <c r="B2350" s="631"/>
      <c r="C2350" s="631"/>
      <c r="D2350" s="832"/>
      <c r="E2350" s="631"/>
      <c r="F2350" s="631"/>
      <c r="G2350" s="631"/>
      <c r="H2350" s="833"/>
      <c r="I2350" s="834"/>
      <c r="J2350" s="834"/>
      <c r="K2350" s="835"/>
      <c r="L2350" s="835"/>
      <c r="M2350" s="835"/>
      <c r="N2350" s="835"/>
      <c r="O2350" s="835"/>
      <c r="P2350" s="835"/>
      <c r="Q2350" s="540"/>
      <c r="R2350" s="540"/>
      <c r="S2350" s="540"/>
      <c r="T2350" s="540"/>
      <c r="U2350" s="540"/>
      <c r="V2350" s="540"/>
      <c r="W2350" s="540"/>
      <c r="X2350" s="540"/>
      <c r="Y2350" s="540"/>
      <c r="Z2350" s="540"/>
    </row>
    <row r="2351" spans="1:26" ht="19">
      <c r="A2351" s="631"/>
      <c r="B2351" s="631"/>
      <c r="C2351" s="631"/>
      <c r="D2351" s="832"/>
      <c r="E2351" s="631"/>
      <c r="F2351" s="631"/>
      <c r="G2351" s="631"/>
      <c r="H2351" s="833"/>
      <c r="I2351" s="834"/>
      <c r="J2351" s="834"/>
      <c r="K2351" s="835"/>
      <c r="L2351" s="835"/>
      <c r="M2351" s="835"/>
      <c r="N2351" s="835"/>
      <c r="O2351" s="835"/>
      <c r="P2351" s="835"/>
      <c r="Q2351" s="540"/>
      <c r="R2351" s="540"/>
      <c r="S2351" s="540"/>
      <c r="T2351" s="540"/>
      <c r="U2351" s="540"/>
      <c r="V2351" s="540"/>
      <c r="W2351" s="540"/>
      <c r="X2351" s="540"/>
      <c r="Y2351" s="540"/>
      <c r="Z2351" s="540"/>
    </row>
    <row r="2352" spans="1:26" ht="19">
      <c r="A2352" s="631"/>
      <c r="B2352" s="631"/>
      <c r="C2352" s="631"/>
      <c r="D2352" s="832"/>
      <c r="E2352" s="631"/>
      <c r="F2352" s="631"/>
      <c r="G2352" s="631"/>
      <c r="H2352" s="833"/>
      <c r="I2352" s="834"/>
      <c r="J2352" s="834"/>
      <c r="K2352" s="835"/>
      <c r="L2352" s="835"/>
      <c r="M2352" s="835"/>
      <c r="N2352" s="835"/>
      <c r="O2352" s="835"/>
      <c r="P2352" s="835"/>
      <c r="Q2352" s="540"/>
      <c r="R2352" s="540"/>
      <c r="S2352" s="540"/>
      <c r="T2352" s="540"/>
      <c r="U2352" s="540"/>
      <c r="V2352" s="540"/>
      <c r="W2352" s="540"/>
      <c r="X2352" s="540"/>
      <c r="Y2352" s="540"/>
      <c r="Z2352" s="540"/>
    </row>
    <row r="2353" spans="1:26" ht="19">
      <c r="A2353" s="631"/>
      <c r="B2353" s="631"/>
      <c r="C2353" s="631"/>
      <c r="D2353" s="832"/>
      <c r="E2353" s="631"/>
      <c r="F2353" s="631"/>
      <c r="G2353" s="631"/>
      <c r="H2353" s="833"/>
      <c r="I2353" s="834"/>
      <c r="J2353" s="834"/>
      <c r="K2353" s="835"/>
      <c r="L2353" s="835"/>
      <c r="M2353" s="835"/>
      <c r="N2353" s="835"/>
      <c r="O2353" s="835"/>
      <c r="P2353" s="835"/>
      <c r="Q2353" s="540"/>
      <c r="R2353" s="540"/>
      <c r="S2353" s="540"/>
      <c r="T2353" s="540"/>
      <c r="U2353" s="540"/>
      <c r="V2353" s="540"/>
      <c r="W2353" s="540"/>
      <c r="X2353" s="540"/>
      <c r="Y2353" s="540"/>
      <c r="Z2353" s="540"/>
    </row>
    <row r="2354" spans="1:26" ht="19">
      <c r="A2354" s="631"/>
      <c r="B2354" s="631"/>
      <c r="C2354" s="631"/>
      <c r="D2354" s="832"/>
      <c r="E2354" s="631"/>
      <c r="F2354" s="631"/>
      <c r="G2354" s="631"/>
      <c r="H2354" s="833"/>
      <c r="I2354" s="834"/>
      <c r="J2354" s="834"/>
      <c r="K2354" s="835"/>
      <c r="L2354" s="835"/>
      <c r="M2354" s="835"/>
      <c r="N2354" s="835"/>
      <c r="O2354" s="835"/>
      <c r="P2354" s="835"/>
      <c r="Q2354" s="540"/>
      <c r="R2354" s="540"/>
      <c r="S2354" s="540"/>
      <c r="T2354" s="540"/>
      <c r="U2354" s="540"/>
      <c r="V2354" s="540"/>
      <c r="W2354" s="540"/>
      <c r="X2354" s="540"/>
      <c r="Y2354" s="540"/>
      <c r="Z2354" s="540"/>
    </row>
    <row r="2355" spans="1:26" ht="19">
      <c r="A2355" s="631"/>
      <c r="B2355" s="631"/>
      <c r="C2355" s="631"/>
      <c r="D2355" s="832"/>
      <c r="E2355" s="631"/>
      <c r="F2355" s="631"/>
      <c r="G2355" s="631"/>
      <c r="H2355" s="833"/>
      <c r="I2355" s="834"/>
      <c r="J2355" s="834"/>
      <c r="K2355" s="835"/>
      <c r="L2355" s="835"/>
      <c r="M2355" s="835"/>
      <c r="N2355" s="835"/>
      <c r="O2355" s="835"/>
      <c r="P2355" s="835"/>
      <c r="Q2355" s="540"/>
      <c r="R2355" s="540"/>
      <c r="S2355" s="540"/>
      <c r="T2355" s="540"/>
      <c r="U2355" s="540"/>
      <c r="V2355" s="540"/>
      <c r="W2355" s="540"/>
      <c r="X2355" s="540"/>
      <c r="Y2355" s="540"/>
      <c r="Z2355" s="540"/>
    </row>
    <row r="2356" spans="1:26" ht="19">
      <c r="A2356" s="631"/>
      <c r="B2356" s="631"/>
      <c r="C2356" s="631"/>
      <c r="D2356" s="832"/>
      <c r="E2356" s="631"/>
      <c r="F2356" s="631"/>
      <c r="G2356" s="631"/>
      <c r="H2356" s="833"/>
      <c r="I2356" s="834"/>
      <c r="J2356" s="834"/>
      <c r="K2356" s="835"/>
      <c r="L2356" s="835"/>
      <c r="M2356" s="835"/>
      <c r="N2356" s="835"/>
      <c r="O2356" s="835"/>
      <c r="P2356" s="835"/>
      <c r="Q2356" s="540"/>
      <c r="R2356" s="540"/>
      <c r="S2356" s="540"/>
      <c r="T2356" s="540"/>
      <c r="U2356" s="540"/>
      <c r="V2356" s="540"/>
      <c r="W2356" s="540"/>
      <c r="X2356" s="540"/>
      <c r="Y2356" s="540"/>
      <c r="Z2356" s="540"/>
    </row>
    <row r="2357" spans="1:26" ht="19">
      <c r="A2357" s="631"/>
      <c r="B2357" s="631"/>
      <c r="C2357" s="631"/>
      <c r="D2357" s="832"/>
      <c r="E2357" s="631"/>
      <c r="F2357" s="631"/>
      <c r="G2357" s="631"/>
      <c r="H2357" s="833"/>
      <c r="I2357" s="834"/>
      <c r="J2357" s="834"/>
      <c r="K2357" s="835"/>
      <c r="L2357" s="835"/>
      <c r="M2357" s="835"/>
      <c r="N2357" s="835"/>
      <c r="O2357" s="835"/>
      <c r="P2357" s="835"/>
      <c r="Q2357" s="540"/>
      <c r="R2357" s="540"/>
      <c r="S2357" s="540"/>
      <c r="T2357" s="540"/>
      <c r="U2357" s="540"/>
      <c r="V2357" s="540"/>
      <c r="W2357" s="540"/>
      <c r="X2357" s="540"/>
      <c r="Y2357" s="540"/>
      <c r="Z2357" s="540"/>
    </row>
    <row r="2358" spans="1:26" ht="19">
      <c r="A2358" s="631"/>
      <c r="B2358" s="631"/>
      <c r="C2358" s="631"/>
      <c r="D2358" s="832"/>
      <c r="E2358" s="631"/>
      <c r="F2358" s="631"/>
      <c r="G2358" s="631"/>
      <c r="H2358" s="833"/>
      <c r="I2358" s="834"/>
      <c r="J2358" s="834"/>
      <c r="K2358" s="835"/>
      <c r="L2358" s="835"/>
      <c r="M2358" s="835"/>
      <c r="N2358" s="835"/>
      <c r="O2358" s="835"/>
      <c r="P2358" s="835"/>
      <c r="Q2358" s="540"/>
      <c r="R2358" s="540"/>
      <c r="S2358" s="540"/>
      <c r="T2358" s="540"/>
      <c r="U2358" s="540"/>
      <c r="V2358" s="540"/>
      <c r="W2358" s="540"/>
      <c r="X2358" s="540"/>
      <c r="Y2358" s="540"/>
      <c r="Z2358" s="540"/>
    </row>
    <row r="2359" spans="1:26" ht="19">
      <c r="A2359" s="631"/>
      <c r="B2359" s="631"/>
      <c r="C2359" s="631"/>
      <c r="D2359" s="832"/>
      <c r="E2359" s="631"/>
      <c r="F2359" s="631"/>
      <c r="G2359" s="631"/>
      <c r="H2359" s="833"/>
      <c r="I2359" s="834"/>
      <c r="J2359" s="834"/>
      <c r="K2359" s="835"/>
      <c r="L2359" s="835"/>
      <c r="M2359" s="835"/>
      <c r="N2359" s="835"/>
      <c r="O2359" s="835"/>
      <c r="P2359" s="835"/>
      <c r="Q2359" s="540"/>
      <c r="R2359" s="540"/>
      <c r="S2359" s="540"/>
      <c r="T2359" s="540"/>
      <c r="U2359" s="540"/>
      <c r="V2359" s="540"/>
      <c r="W2359" s="540"/>
      <c r="X2359" s="540"/>
      <c r="Y2359" s="540"/>
      <c r="Z2359" s="540"/>
    </row>
    <row r="2360" spans="1:26" ht="19">
      <c r="A2360" s="631"/>
      <c r="B2360" s="631"/>
      <c r="C2360" s="631"/>
      <c r="D2360" s="832"/>
      <c r="E2360" s="631"/>
      <c r="F2360" s="631"/>
      <c r="G2360" s="631"/>
      <c r="H2360" s="833"/>
      <c r="I2360" s="834"/>
      <c r="J2360" s="834"/>
      <c r="K2360" s="835"/>
      <c r="L2360" s="835"/>
      <c r="M2360" s="835"/>
      <c r="N2360" s="835"/>
      <c r="O2360" s="835"/>
      <c r="P2360" s="835"/>
      <c r="Q2360" s="540"/>
      <c r="R2360" s="540"/>
      <c r="S2360" s="540"/>
      <c r="T2360" s="540"/>
      <c r="U2360" s="540"/>
      <c r="V2360" s="540"/>
      <c r="W2360" s="540"/>
      <c r="X2360" s="540"/>
      <c r="Y2360" s="540"/>
      <c r="Z2360" s="540"/>
    </row>
    <row r="2361" spans="1:26" ht="19">
      <c r="A2361" s="631"/>
      <c r="B2361" s="631"/>
      <c r="C2361" s="631"/>
      <c r="D2361" s="832"/>
      <c r="E2361" s="631"/>
      <c r="F2361" s="631"/>
      <c r="G2361" s="631"/>
      <c r="H2361" s="833"/>
      <c r="I2361" s="834"/>
      <c r="J2361" s="834"/>
      <c r="K2361" s="835"/>
      <c r="L2361" s="835"/>
      <c r="M2361" s="835"/>
      <c r="N2361" s="835"/>
      <c r="O2361" s="835"/>
      <c r="P2361" s="835"/>
      <c r="Q2361" s="540"/>
      <c r="R2361" s="540"/>
      <c r="S2361" s="540"/>
      <c r="T2361" s="540"/>
      <c r="U2361" s="540"/>
      <c r="V2361" s="540"/>
      <c r="W2361" s="540"/>
      <c r="X2361" s="540"/>
      <c r="Y2361" s="540"/>
      <c r="Z2361" s="540"/>
    </row>
    <row r="2362" spans="1:26" ht="19">
      <c r="A2362" s="631"/>
      <c r="B2362" s="631"/>
      <c r="C2362" s="631"/>
      <c r="D2362" s="832"/>
      <c r="E2362" s="631"/>
      <c r="F2362" s="631"/>
      <c r="G2362" s="631"/>
      <c r="H2362" s="833"/>
      <c r="I2362" s="834"/>
      <c r="J2362" s="834"/>
      <c r="K2362" s="835"/>
      <c r="L2362" s="835"/>
      <c r="M2362" s="835"/>
      <c r="N2362" s="835"/>
      <c r="O2362" s="835"/>
      <c r="P2362" s="835"/>
      <c r="Q2362" s="540"/>
      <c r="R2362" s="540"/>
      <c r="S2362" s="540"/>
      <c r="T2362" s="540"/>
      <c r="U2362" s="540"/>
      <c r="V2362" s="540"/>
      <c r="W2362" s="540"/>
      <c r="X2362" s="540"/>
      <c r="Y2362" s="540"/>
      <c r="Z2362" s="540"/>
    </row>
    <row r="2363" spans="1:26" ht="19">
      <c r="A2363" s="631"/>
      <c r="B2363" s="631"/>
      <c r="C2363" s="631"/>
      <c r="D2363" s="832"/>
      <c r="E2363" s="631"/>
      <c r="F2363" s="631"/>
      <c r="G2363" s="631"/>
      <c r="H2363" s="833"/>
      <c r="I2363" s="834"/>
      <c r="J2363" s="834"/>
      <c r="K2363" s="835"/>
      <c r="L2363" s="835"/>
      <c r="M2363" s="835"/>
      <c r="N2363" s="835"/>
      <c r="O2363" s="835"/>
      <c r="P2363" s="835"/>
      <c r="Q2363" s="540"/>
      <c r="R2363" s="540"/>
      <c r="S2363" s="540"/>
      <c r="T2363" s="540"/>
      <c r="U2363" s="540"/>
      <c r="V2363" s="540"/>
      <c r="W2363" s="540"/>
      <c r="X2363" s="540"/>
      <c r="Y2363" s="540"/>
      <c r="Z2363" s="540"/>
    </row>
    <row r="2364" spans="1:26" ht="19">
      <c r="A2364" s="631"/>
      <c r="B2364" s="631"/>
      <c r="C2364" s="631"/>
      <c r="D2364" s="832"/>
      <c r="E2364" s="631"/>
      <c r="F2364" s="631"/>
      <c r="G2364" s="631"/>
      <c r="H2364" s="833"/>
      <c r="I2364" s="834"/>
      <c r="J2364" s="834"/>
      <c r="K2364" s="835"/>
      <c r="L2364" s="835"/>
      <c r="M2364" s="835"/>
      <c r="N2364" s="835"/>
      <c r="O2364" s="835"/>
      <c r="P2364" s="835"/>
      <c r="Q2364" s="540"/>
      <c r="R2364" s="540"/>
      <c r="S2364" s="540"/>
      <c r="T2364" s="540"/>
      <c r="U2364" s="540"/>
      <c r="V2364" s="540"/>
      <c r="W2364" s="540"/>
      <c r="X2364" s="540"/>
      <c r="Y2364" s="540"/>
      <c r="Z2364" s="540"/>
    </row>
    <row r="2365" spans="1:26" ht="19">
      <c r="A2365" s="631"/>
      <c r="B2365" s="631"/>
      <c r="C2365" s="631"/>
      <c r="D2365" s="832"/>
      <c r="E2365" s="631"/>
      <c r="F2365" s="631"/>
      <c r="G2365" s="631"/>
      <c r="H2365" s="833"/>
      <c r="I2365" s="834"/>
      <c r="J2365" s="834"/>
      <c r="K2365" s="835"/>
      <c r="L2365" s="835"/>
      <c r="M2365" s="835"/>
      <c r="N2365" s="835"/>
      <c r="O2365" s="835"/>
      <c r="P2365" s="835"/>
      <c r="Q2365" s="540"/>
      <c r="R2365" s="540"/>
      <c r="S2365" s="540"/>
      <c r="T2365" s="540"/>
      <c r="U2365" s="540"/>
      <c r="V2365" s="540"/>
      <c r="W2365" s="540"/>
      <c r="X2365" s="540"/>
      <c r="Y2365" s="540"/>
      <c r="Z2365" s="540"/>
    </row>
    <row r="2366" spans="1:26" ht="19">
      <c r="A2366" s="631"/>
      <c r="B2366" s="631"/>
      <c r="C2366" s="631"/>
      <c r="D2366" s="832"/>
      <c r="E2366" s="631"/>
      <c r="F2366" s="631"/>
      <c r="G2366" s="631"/>
      <c r="H2366" s="833"/>
      <c r="I2366" s="834"/>
      <c r="J2366" s="834"/>
      <c r="K2366" s="835"/>
      <c r="L2366" s="835"/>
      <c r="M2366" s="835"/>
      <c r="N2366" s="835"/>
      <c r="O2366" s="835"/>
      <c r="P2366" s="835"/>
      <c r="Q2366" s="540"/>
      <c r="R2366" s="540"/>
      <c r="S2366" s="540"/>
      <c r="T2366" s="540"/>
      <c r="U2366" s="540"/>
      <c r="V2366" s="540"/>
      <c r="W2366" s="540"/>
      <c r="X2366" s="540"/>
      <c r="Y2366" s="540"/>
      <c r="Z2366" s="540"/>
    </row>
    <row r="2367" spans="1:26" ht="19">
      <c r="A2367" s="631"/>
      <c r="B2367" s="631"/>
      <c r="C2367" s="631"/>
      <c r="D2367" s="832"/>
      <c r="E2367" s="631"/>
      <c r="F2367" s="631"/>
      <c r="G2367" s="631"/>
      <c r="H2367" s="833"/>
      <c r="I2367" s="834"/>
      <c r="J2367" s="834"/>
      <c r="K2367" s="835"/>
      <c r="L2367" s="835"/>
      <c r="M2367" s="835"/>
      <c r="N2367" s="835"/>
      <c r="O2367" s="835"/>
      <c r="P2367" s="835"/>
      <c r="Q2367" s="540"/>
      <c r="R2367" s="540"/>
      <c r="S2367" s="540"/>
      <c r="T2367" s="540"/>
      <c r="U2367" s="540"/>
      <c r="V2367" s="540"/>
      <c r="W2367" s="540"/>
      <c r="X2367" s="540"/>
      <c r="Y2367" s="540"/>
      <c r="Z2367" s="540"/>
    </row>
    <row r="2368" spans="1:26" ht="19">
      <c r="A2368" s="631"/>
      <c r="B2368" s="631"/>
      <c r="C2368" s="631"/>
      <c r="D2368" s="832"/>
      <c r="E2368" s="631"/>
      <c r="F2368" s="631"/>
      <c r="G2368" s="631"/>
      <c r="H2368" s="833"/>
      <c r="I2368" s="834"/>
      <c r="J2368" s="834"/>
      <c r="K2368" s="835"/>
      <c r="L2368" s="835"/>
      <c r="M2368" s="835"/>
      <c r="N2368" s="835"/>
      <c r="O2368" s="835"/>
      <c r="P2368" s="835"/>
      <c r="Q2368" s="540"/>
      <c r="R2368" s="540"/>
      <c r="S2368" s="540"/>
      <c r="T2368" s="540"/>
      <c r="U2368" s="540"/>
      <c r="V2368" s="540"/>
      <c r="W2368" s="540"/>
      <c r="X2368" s="540"/>
      <c r="Y2368" s="540"/>
      <c r="Z2368" s="540"/>
    </row>
    <row r="2369" spans="1:26" ht="19">
      <c r="A2369" s="631"/>
      <c r="B2369" s="631"/>
      <c r="C2369" s="631"/>
      <c r="D2369" s="832"/>
      <c r="E2369" s="631"/>
      <c r="F2369" s="631"/>
      <c r="G2369" s="631"/>
      <c r="H2369" s="833"/>
      <c r="I2369" s="834"/>
      <c r="J2369" s="834"/>
      <c r="K2369" s="835"/>
      <c r="L2369" s="835"/>
      <c r="M2369" s="835"/>
      <c r="N2369" s="835"/>
      <c r="O2369" s="835"/>
      <c r="P2369" s="835"/>
      <c r="Q2369" s="540"/>
      <c r="R2369" s="540"/>
      <c r="S2369" s="540"/>
      <c r="T2369" s="540"/>
      <c r="U2369" s="540"/>
      <c r="V2369" s="540"/>
      <c r="W2369" s="540"/>
      <c r="X2369" s="540"/>
      <c r="Y2369" s="540"/>
      <c r="Z2369" s="540"/>
    </row>
    <row r="2370" spans="1:26" ht="19">
      <c r="A2370" s="631"/>
      <c r="B2370" s="631"/>
      <c r="C2370" s="631"/>
      <c r="D2370" s="832"/>
      <c r="E2370" s="631"/>
      <c r="F2370" s="631"/>
      <c r="G2370" s="631"/>
      <c r="H2370" s="833"/>
      <c r="I2370" s="834"/>
      <c r="J2370" s="834"/>
      <c r="K2370" s="835"/>
      <c r="L2370" s="835"/>
      <c r="M2370" s="835"/>
      <c r="N2370" s="835"/>
      <c r="O2370" s="835"/>
      <c r="P2370" s="835"/>
      <c r="Q2370" s="540"/>
      <c r="R2370" s="540"/>
      <c r="S2370" s="540"/>
      <c r="T2370" s="540"/>
      <c r="U2370" s="540"/>
      <c r="V2370" s="540"/>
      <c r="W2370" s="540"/>
      <c r="X2370" s="540"/>
      <c r="Y2370" s="540"/>
      <c r="Z2370" s="540"/>
    </row>
    <row r="2371" spans="1:26" ht="19">
      <c r="A2371" s="631"/>
      <c r="B2371" s="631"/>
      <c r="C2371" s="631"/>
      <c r="D2371" s="832"/>
      <c r="E2371" s="631"/>
      <c r="F2371" s="631"/>
      <c r="G2371" s="631"/>
      <c r="H2371" s="833"/>
      <c r="I2371" s="834"/>
      <c r="J2371" s="834"/>
      <c r="K2371" s="835"/>
      <c r="L2371" s="835"/>
      <c r="M2371" s="835"/>
      <c r="N2371" s="835"/>
      <c r="O2371" s="835"/>
      <c r="P2371" s="835"/>
      <c r="Q2371" s="540"/>
      <c r="R2371" s="540"/>
      <c r="S2371" s="540"/>
      <c r="T2371" s="540"/>
      <c r="U2371" s="540"/>
      <c r="V2371" s="540"/>
      <c r="W2371" s="540"/>
      <c r="X2371" s="540"/>
      <c r="Y2371" s="540"/>
      <c r="Z2371" s="540"/>
    </row>
    <row r="2372" spans="1:26" ht="19">
      <c r="A2372" s="631"/>
      <c r="B2372" s="631"/>
      <c r="C2372" s="631"/>
      <c r="D2372" s="832"/>
      <c r="E2372" s="631"/>
      <c r="F2372" s="631"/>
      <c r="G2372" s="631"/>
      <c r="H2372" s="833"/>
      <c r="I2372" s="834"/>
      <c r="J2372" s="834"/>
      <c r="K2372" s="835"/>
      <c r="L2372" s="835"/>
      <c r="M2372" s="835"/>
      <c r="N2372" s="835"/>
      <c r="O2372" s="835"/>
      <c r="P2372" s="835"/>
      <c r="Q2372" s="540"/>
      <c r="R2372" s="540"/>
      <c r="S2372" s="540"/>
      <c r="T2372" s="540"/>
      <c r="U2372" s="540"/>
      <c r="V2372" s="540"/>
      <c r="W2372" s="540"/>
      <c r="X2372" s="540"/>
      <c r="Y2372" s="540"/>
      <c r="Z2372" s="540"/>
    </row>
    <row r="2373" spans="1:26" ht="19">
      <c r="A2373" s="631"/>
      <c r="B2373" s="631"/>
      <c r="C2373" s="631"/>
      <c r="D2373" s="832"/>
      <c r="E2373" s="631"/>
      <c r="F2373" s="631"/>
      <c r="G2373" s="631"/>
      <c r="H2373" s="833"/>
      <c r="I2373" s="834"/>
      <c r="J2373" s="834"/>
      <c r="K2373" s="835"/>
      <c r="L2373" s="835"/>
      <c r="M2373" s="835"/>
      <c r="N2373" s="835"/>
      <c r="O2373" s="835"/>
      <c r="P2373" s="835"/>
      <c r="Q2373" s="540"/>
      <c r="R2373" s="540"/>
      <c r="S2373" s="540"/>
      <c r="T2373" s="540"/>
      <c r="U2373" s="540"/>
      <c r="V2373" s="540"/>
      <c r="W2373" s="540"/>
      <c r="X2373" s="540"/>
      <c r="Y2373" s="540"/>
      <c r="Z2373" s="540"/>
    </row>
    <row r="2374" spans="1:26" ht="19">
      <c r="A2374" s="631"/>
      <c r="B2374" s="631"/>
      <c r="C2374" s="631"/>
      <c r="D2374" s="832"/>
      <c r="E2374" s="631"/>
      <c r="F2374" s="631"/>
      <c r="G2374" s="631"/>
      <c r="H2374" s="833"/>
      <c r="I2374" s="834"/>
      <c r="J2374" s="834"/>
      <c r="K2374" s="835"/>
      <c r="L2374" s="835"/>
      <c r="M2374" s="835"/>
      <c r="N2374" s="835"/>
      <c r="O2374" s="835"/>
      <c r="P2374" s="835"/>
      <c r="Q2374" s="540"/>
      <c r="R2374" s="540"/>
      <c r="S2374" s="540"/>
      <c r="T2374" s="540"/>
      <c r="U2374" s="540"/>
      <c r="V2374" s="540"/>
      <c r="W2374" s="540"/>
      <c r="X2374" s="540"/>
      <c r="Y2374" s="540"/>
      <c r="Z2374" s="540"/>
    </row>
    <row r="2375" spans="1:26" ht="19">
      <c r="A2375" s="631"/>
      <c r="B2375" s="631"/>
      <c r="C2375" s="631"/>
      <c r="D2375" s="832"/>
      <c r="E2375" s="631"/>
      <c r="F2375" s="631"/>
      <c r="G2375" s="631"/>
      <c r="H2375" s="833"/>
      <c r="I2375" s="834"/>
      <c r="J2375" s="834"/>
      <c r="K2375" s="835"/>
      <c r="L2375" s="835"/>
      <c r="M2375" s="835"/>
      <c r="N2375" s="835"/>
      <c r="O2375" s="835"/>
      <c r="P2375" s="835"/>
      <c r="Q2375" s="540"/>
      <c r="R2375" s="540"/>
      <c r="S2375" s="540"/>
      <c r="T2375" s="540"/>
      <c r="U2375" s="540"/>
      <c r="V2375" s="540"/>
      <c r="W2375" s="540"/>
      <c r="X2375" s="540"/>
      <c r="Y2375" s="540"/>
      <c r="Z2375" s="540"/>
    </row>
    <row r="2376" spans="1:26" ht="19">
      <c r="A2376" s="631"/>
      <c r="B2376" s="631"/>
      <c r="C2376" s="631"/>
      <c r="D2376" s="832"/>
      <c r="E2376" s="631"/>
      <c r="F2376" s="631"/>
      <c r="G2376" s="631"/>
      <c r="H2376" s="833"/>
      <c r="I2376" s="834"/>
      <c r="J2376" s="834"/>
      <c r="K2376" s="835"/>
      <c r="L2376" s="835"/>
      <c r="M2376" s="835"/>
      <c r="N2376" s="835"/>
      <c r="O2376" s="835"/>
      <c r="P2376" s="835"/>
      <c r="Q2376" s="540"/>
      <c r="R2376" s="540"/>
      <c r="S2376" s="540"/>
      <c r="T2376" s="540"/>
      <c r="U2376" s="540"/>
      <c r="V2376" s="540"/>
      <c r="W2376" s="540"/>
      <c r="X2376" s="540"/>
      <c r="Y2376" s="540"/>
      <c r="Z2376" s="540"/>
    </row>
    <row r="2377" spans="1:26" ht="19">
      <c r="A2377" s="631"/>
      <c r="B2377" s="631"/>
      <c r="C2377" s="631"/>
      <c r="D2377" s="832"/>
      <c r="E2377" s="631"/>
      <c r="F2377" s="631"/>
      <c r="G2377" s="631"/>
      <c r="H2377" s="833"/>
      <c r="I2377" s="834"/>
      <c r="J2377" s="834"/>
      <c r="K2377" s="835"/>
      <c r="L2377" s="835"/>
      <c r="M2377" s="835"/>
      <c r="N2377" s="835"/>
      <c r="O2377" s="835"/>
      <c r="P2377" s="835"/>
      <c r="Q2377" s="540"/>
      <c r="R2377" s="540"/>
      <c r="S2377" s="540"/>
      <c r="T2377" s="540"/>
      <c r="U2377" s="540"/>
      <c r="V2377" s="540"/>
      <c r="W2377" s="540"/>
      <c r="X2377" s="540"/>
      <c r="Y2377" s="540"/>
      <c r="Z2377" s="540"/>
    </row>
    <row r="2378" spans="1:26" ht="19">
      <c r="A2378" s="631"/>
      <c r="B2378" s="631"/>
      <c r="C2378" s="631"/>
      <c r="D2378" s="832"/>
      <c r="E2378" s="631"/>
      <c r="F2378" s="631"/>
      <c r="G2378" s="631"/>
      <c r="H2378" s="833"/>
      <c r="I2378" s="834"/>
      <c r="J2378" s="834"/>
      <c r="K2378" s="835"/>
      <c r="L2378" s="835"/>
      <c r="M2378" s="835"/>
      <c r="N2378" s="835"/>
      <c r="O2378" s="835"/>
      <c r="P2378" s="835"/>
      <c r="Q2378" s="540"/>
      <c r="R2378" s="540"/>
      <c r="S2378" s="540"/>
      <c r="T2378" s="540"/>
      <c r="U2378" s="540"/>
      <c r="V2378" s="540"/>
      <c r="W2378" s="540"/>
      <c r="X2378" s="540"/>
      <c r="Y2378" s="540"/>
      <c r="Z2378" s="540"/>
    </row>
    <row r="2379" spans="1:26" ht="19">
      <c r="A2379" s="631"/>
      <c r="B2379" s="631"/>
      <c r="C2379" s="631"/>
      <c r="D2379" s="832"/>
      <c r="E2379" s="631"/>
      <c r="F2379" s="631"/>
      <c r="G2379" s="631"/>
      <c r="H2379" s="833"/>
      <c r="I2379" s="834"/>
      <c r="J2379" s="834"/>
      <c r="K2379" s="835"/>
      <c r="L2379" s="835"/>
      <c r="M2379" s="835"/>
      <c r="N2379" s="835"/>
      <c r="O2379" s="835"/>
      <c r="P2379" s="835"/>
      <c r="Q2379" s="540"/>
      <c r="R2379" s="540"/>
      <c r="S2379" s="540"/>
      <c r="T2379" s="540"/>
      <c r="U2379" s="540"/>
      <c r="V2379" s="540"/>
      <c r="W2379" s="540"/>
      <c r="X2379" s="540"/>
      <c r="Y2379" s="540"/>
      <c r="Z2379" s="540"/>
    </row>
    <row r="2380" spans="1:26" ht="19">
      <c r="A2380" s="631"/>
      <c r="B2380" s="631"/>
      <c r="C2380" s="631"/>
      <c r="D2380" s="832"/>
      <c r="E2380" s="631"/>
      <c r="F2380" s="631"/>
      <c r="G2380" s="631"/>
      <c r="H2380" s="833"/>
      <c r="I2380" s="834"/>
      <c r="J2380" s="834"/>
      <c r="K2380" s="835"/>
      <c r="L2380" s="835"/>
      <c r="M2380" s="835"/>
      <c r="N2380" s="835"/>
      <c r="O2380" s="835"/>
      <c r="P2380" s="835"/>
      <c r="Q2380" s="540"/>
      <c r="R2380" s="540"/>
      <c r="S2380" s="540"/>
      <c r="T2380" s="540"/>
      <c r="U2380" s="540"/>
      <c r="V2380" s="540"/>
      <c r="W2380" s="540"/>
      <c r="X2380" s="540"/>
      <c r="Y2380" s="540"/>
      <c r="Z2380" s="540"/>
    </row>
    <row r="2381" spans="1:26" ht="19">
      <c r="A2381" s="631"/>
      <c r="B2381" s="631"/>
      <c r="C2381" s="631"/>
      <c r="D2381" s="832"/>
      <c r="E2381" s="631"/>
      <c r="F2381" s="631"/>
      <c r="G2381" s="631"/>
      <c r="H2381" s="833"/>
      <c r="I2381" s="834"/>
      <c r="J2381" s="834"/>
      <c r="K2381" s="835"/>
      <c r="L2381" s="835"/>
      <c r="M2381" s="835"/>
      <c r="N2381" s="835"/>
      <c r="O2381" s="835"/>
      <c r="P2381" s="835"/>
      <c r="Q2381" s="540"/>
      <c r="R2381" s="540"/>
      <c r="S2381" s="540"/>
      <c r="T2381" s="540"/>
      <c r="U2381" s="540"/>
      <c r="V2381" s="540"/>
      <c r="W2381" s="540"/>
      <c r="X2381" s="540"/>
      <c r="Y2381" s="540"/>
      <c r="Z2381" s="540"/>
    </row>
    <row r="2382" spans="1:26" ht="19">
      <c r="A2382" s="631"/>
      <c r="B2382" s="631"/>
      <c r="C2382" s="631"/>
      <c r="D2382" s="832"/>
      <c r="E2382" s="631"/>
      <c r="F2382" s="631"/>
      <c r="G2382" s="631"/>
      <c r="H2382" s="833"/>
      <c r="I2382" s="834"/>
      <c r="J2382" s="834"/>
      <c r="K2382" s="835"/>
      <c r="L2382" s="835"/>
      <c r="M2382" s="835"/>
      <c r="N2382" s="835"/>
      <c r="O2382" s="835"/>
      <c r="P2382" s="835"/>
      <c r="Q2382" s="540"/>
      <c r="R2382" s="540"/>
      <c r="S2382" s="540"/>
      <c r="T2382" s="540"/>
      <c r="U2382" s="540"/>
      <c r="V2382" s="540"/>
      <c r="W2382" s="540"/>
      <c r="X2382" s="540"/>
      <c r="Y2382" s="540"/>
      <c r="Z2382" s="540"/>
    </row>
    <row r="2383" spans="1:26" ht="19">
      <c r="A2383" s="631"/>
      <c r="B2383" s="631"/>
      <c r="C2383" s="631"/>
      <c r="D2383" s="832"/>
      <c r="E2383" s="631"/>
      <c r="F2383" s="631"/>
      <c r="G2383" s="631"/>
      <c r="H2383" s="833"/>
      <c r="I2383" s="834"/>
      <c r="J2383" s="834"/>
      <c r="K2383" s="835"/>
      <c r="L2383" s="835"/>
      <c r="M2383" s="835"/>
      <c r="N2383" s="835"/>
      <c r="O2383" s="835"/>
      <c r="P2383" s="835"/>
      <c r="Q2383" s="540"/>
      <c r="R2383" s="540"/>
      <c r="S2383" s="540"/>
      <c r="T2383" s="540"/>
      <c r="U2383" s="540"/>
      <c r="V2383" s="540"/>
      <c r="W2383" s="540"/>
      <c r="X2383" s="540"/>
      <c r="Y2383" s="540"/>
      <c r="Z2383" s="540"/>
    </row>
    <row r="2384" spans="1:26" ht="19">
      <c r="A2384" s="631"/>
      <c r="B2384" s="631"/>
      <c r="C2384" s="631"/>
      <c r="D2384" s="832"/>
      <c r="E2384" s="631"/>
      <c r="F2384" s="631"/>
      <c r="G2384" s="631"/>
      <c r="H2384" s="833"/>
      <c r="I2384" s="834"/>
      <c r="J2384" s="834"/>
      <c r="K2384" s="835"/>
      <c r="L2384" s="835"/>
      <c r="M2384" s="835"/>
      <c r="N2384" s="835"/>
      <c r="O2384" s="835"/>
      <c r="P2384" s="835"/>
      <c r="Q2384" s="540"/>
      <c r="R2384" s="540"/>
      <c r="S2384" s="540"/>
      <c r="T2384" s="540"/>
      <c r="U2384" s="540"/>
      <c r="V2384" s="540"/>
      <c r="W2384" s="540"/>
      <c r="X2384" s="540"/>
      <c r="Y2384" s="540"/>
      <c r="Z2384" s="540"/>
    </row>
    <row r="2385" spans="1:26" ht="19">
      <c r="A2385" s="631"/>
      <c r="B2385" s="631"/>
      <c r="C2385" s="631"/>
      <c r="D2385" s="832"/>
      <c r="E2385" s="631"/>
      <c r="F2385" s="631"/>
      <c r="G2385" s="631"/>
      <c r="H2385" s="833"/>
      <c r="I2385" s="834"/>
      <c r="J2385" s="834"/>
      <c r="K2385" s="835"/>
      <c r="L2385" s="835"/>
      <c r="M2385" s="835"/>
      <c r="N2385" s="835"/>
      <c r="O2385" s="835"/>
      <c r="P2385" s="835"/>
      <c r="Q2385" s="540"/>
      <c r="R2385" s="540"/>
      <c r="S2385" s="540"/>
      <c r="T2385" s="540"/>
      <c r="U2385" s="540"/>
      <c r="V2385" s="540"/>
      <c r="W2385" s="540"/>
      <c r="X2385" s="540"/>
      <c r="Y2385" s="540"/>
      <c r="Z2385" s="540"/>
    </row>
    <row r="2386" spans="1:26" ht="19">
      <c r="A2386" s="631"/>
      <c r="B2386" s="631"/>
      <c r="C2386" s="631"/>
      <c r="D2386" s="832"/>
      <c r="E2386" s="631"/>
      <c r="F2386" s="631"/>
      <c r="G2386" s="631"/>
      <c r="H2386" s="833"/>
      <c r="I2386" s="834"/>
      <c r="J2386" s="834"/>
      <c r="K2386" s="835"/>
      <c r="L2386" s="835"/>
      <c r="M2386" s="835"/>
      <c r="N2386" s="835"/>
      <c r="O2386" s="835"/>
      <c r="P2386" s="835"/>
      <c r="Q2386" s="540"/>
      <c r="R2386" s="540"/>
      <c r="S2386" s="540"/>
      <c r="T2386" s="540"/>
      <c r="U2386" s="540"/>
      <c r="V2386" s="540"/>
      <c r="W2386" s="540"/>
      <c r="X2386" s="540"/>
      <c r="Y2386" s="540"/>
      <c r="Z2386" s="540"/>
    </row>
    <row r="2387" spans="1:26" ht="19">
      <c r="A2387" s="631"/>
      <c r="B2387" s="631"/>
      <c r="C2387" s="631"/>
      <c r="D2387" s="832"/>
      <c r="E2387" s="631"/>
      <c r="F2387" s="631"/>
      <c r="G2387" s="631"/>
      <c r="H2387" s="833"/>
      <c r="I2387" s="834"/>
      <c r="J2387" s="834"/>
      <c r="K2387" s="835"/>
      <c r="L2387" s="835"/>
      <c r="M2387" s="835"/>
      <c r="N2387" s="835"/>
      <c r="O2387" s="835"/>
      <c r="P2387" s="835"/>
      <c r="Q2387" s="540"/>
      <c r="R2387" s="540"/>
      <c r="S2387" s="540"/>
      <c r="T2387" s="540"/>
      <c r="U2387" s="540"/>
      <c r="V2387" s="540"/>
      <c r="W2387" s="540"/>
      <c r="X2387" s="540"/>
      <c r="Y2387" s="540"/>
      <c r="Z2387" s="540"/>
    </row>
    <row r="2388" spans="1:26" ht="19">
      <c r="A2388" s="631"/>
      <c r="B2388" s="631"/>
      <c r="C2388" s="631"/>
      <c r="D2388" s="832"/>
      <c r="E2388" s="631"/>
      <c r="F2388" s="631"/>
      <c r="G2388" s="631"/>
      <c r="H2388" s="833"/>
      <c r="I2388" s="834"/>
      <c r="J2388" s="834"/>
      <c r="K2388" s="835"/>
      <c r="L2388" s="835"/>
      <c r="M2388" s="835"/>
      <c r="N2388" s="835"/>
      <c r="O2388" s="835"/>
      <c r="P2388" s="835"/>
      <c r="Q2388" s="540"/>
      <c r="R2388" s="540"/>
      <c r="S2388" s="540"/>
      <c r="T2388" s="540"/>
      <c r="U2388" s="540"/>
      <c r="V2388" s="540"/>
      <c r="W2388" s="540"/>
      <c r="X2388" s="540"/>
      <c r="Y2388" s="540"/>
      <c r="Z2388" s="540"/>
    </row>
    <row r="2389" spans="1:26" ht="19">
      <c r="A2389" s="631"/>
      <c r="B2389" s="631"/>
      <c r="C2389" s="631"/>
      <c r="D2389" s="832"/>
      <c r="E2389" s="631"/>
      <c r="F2389" s="631"/>
      <c r="G2389" s="631"/>
      <c r="H2389" s="833"/>
      <c r="I2389" s="834"/>
      <c r="J2389" s="834"/>
      <c r="K2389" s="835"/>
      <c r="L2389" s="835"/>
      <c r="M2389" s="835"/>
      <c r="N2389" s="835"/>
      <c r="O2389" s="835"/>
      <c r="P2389" s="835"/>
      <c r="Q2389" s="540"/>
      <c r="R2389" s="540"/>
      <c r="S2389" s="540"/>
      <c r="T2389" s="540"/>
      <c r="U2389" s="540"/>
      <c r="V2389" s="540"/>
      <c r="W2389" s="540"/>
      <c r="X2389" s="540"/>
      <c r="Y2389" s="540"/>
      <c r="Z2389" s="540"/>
    </row>
    <row r="2390" spans="1:26" ht="19">
      <c r="A2390" s="631"/>
      <c r="B2390" s="631"/>
      <c r="C2390" s="631"/>
      <c r="D2390" s="832"/>
      <c r="E2390" s="631"/>
      <c r="F2390" s="631"/>
      <c r="G2390" s="631"/>
      <c r="H2390" s="833"/>
      <c r="I2390" s="834"/>
      <c r="J2390" s="834"/>
      <c r="K2390" s="835"/>
      <c r="L2390" s="835"/>
      <c r="M2390" s="835"/>
      <c r="N2390" s="835"/>
      <c r="O2390" s="835"/>
      <c r="P2390" s="835"/>
      <c r="Q2390" s="540"/>
      <c r="R2390" s="540"/>
      <c r="S2390" s="540"/>
      <c r="T2390" s="540"/>
      <c r="U2390" s="540"/>
      <c r="V2390" s="540"/>
      <c r="W2390" s="540"/>
      <c r="X2390" s="540"/>
      <c r="Y2390" s="540"/>
      <c r="Z2390" s="540"/>
    </row>
    <row r="2391" spans="1:26" ht="19">
      <c r="A2391" s="631"/>
      <c r="B2391" s="631"/>
      <c r="C2391" s="631"/>
      <c r="D2391" s="832"/>
      <c r="E2391" s="631"/>
      <c r="F2391" s="631"/>
      <c r="G2391" s="631"/>
      <c r="H2391" s="833"/>
      <c r="I2391" s="834"/>
      <c r="J2391" s="834"/>
      <c r="K2391" s="835"/>
      <c r="L2391" s="835"/>
      <c r="M2391" s="835"/>
      <c r="N2391" s="835"/>
      <c r="O2391" s="835"/>
      <c r="P2391" s="835"/>
      <c r="Q2391" s="540"/>
      <c r="R2391" s="540"/>
      <c r="S2391" s="540"/>
      <c r="T2391" s="540"/>
      <c r="U2391" s="540"/>
      <c r="V2391" s="540"/>
      <c r="W2391" s="540"/>
      <c r="X2391" s="540"/>
      <c r="Y2391" s="540"/>
      <c r="Z2391" s="540"/>
    </row>
    <row r="2392" spans="1:26" ht="19">
      <c r="A2392" s="631"/>
      <c r="B2392" s="631"/>
      <c r="C2392" s="631"/>
      <c r="D2392" s="832"/>
      <c r="E2392" s="631"/>
      <c r="F2392" s="631"/>
      <c r="G2392" s="631"/>
      <c r="H2392" s="833"/>
      <c r="I2392" s="834"/>
      <c r="J2392" s="834"/>
      <c r="K2392" s="835"/>
      <c r="L2392" s="835"/>
      <c r="M2392" s="835"/>
      <c r="N2392" s="835"/>
      <c r="O2392" s="835"/>
      <c r="P2392" s="835"/>
      <c r="Q2392" s="540"/>
      <c r="R2392" s="540"/>
      <c r="S2392" s="540"/>
      <c r="T2392" s="540"/>
      <c r="U2392" s="540"/>
      <c r="V2392" s="540"/>
      <c r="W2392" s="540"/>
      <c r="X2392" s="540"/>
      <c r="Y2392" s="540"/>
      <c r="Z2392" s="540"/>
    </row>
    <row r="2393" spans="1:26" ht="19">
      <c r="A2393" s="631"/>
      <c r="B2393" s="631"/>
      <c r="C2393" s="631"/>
      <c r="D2393" s="832"/>
      <c r="E2393" s="631"/>
      <c r="F2393" s="631"/>
      <c r="G2393" s="631"/>
      <c r="H2393" s="833"/>
      <c r="I2393" s="834"/>
      <c r="J2393" s="834"/>
      <c r="K2393" s="835"/>
      <c r="L2393" s="835"/>
      <c r="M2393" s="835"/>
      <c r="N2393" s="835"/>
      <c r="O2393" s="835"/>
      <c r="P2393" s="835"/>
      <c r="Q2393" s="540"/>
      <c r="R2393" s="540"/>
      <c r="S2393" s="540"/>
      <c r="T2393" s="540"/>
      <c r="U2393" s="540"/>
      <c r="V2393" s="540"/>
      <c r="W2393" s="540"/>
      <c r="X2393" s="540"/>
      <c r="Y2393" s="540"/>
      <c r="Z2393" s="540"/>
    </row>
    <row r="2394" spans="1:26" ht="19">
      <c r="A2394" s="631"/>
      <c r="B2394" s="631"/>
      <c r="C2394" s="631"/>
      <c r="D2394" s="832"/>
      <c r="E2394" s="631"/>
      <c r="F2394" s="631"/>
      <c r="G2394" s="631"/>
      <c r="H2394" s="833"/>
      <c r="I2394" s="834"/>
      <c r="J2394" s="834"/>
      <c r="K2394" s="835"/>
      <c r="L2394" s="835"/>
      <c r="M2394" s="835"/>
      <c r="N2394" s="835"/>
      <c r="O2394" s="835"/>
      <c r="P2394" s="835"/>
      <c r="Q2394" s="540"/>
      <c r="R2394" s="540"/>
      <c r="S2394" s="540"/>
      <c r="T2394" s="540"/>
      <c r="U2394" s="540"/>
      <c r="V2394" s="540"/>
      <c r="W2394" s="540"/>
      <c r="X2394" s="540"/>
      <c r="Y2394" s="540"/>
      <c r="Z2394" s="540"/>
    </row>
    <row r="2395" spans="1:26" ht="19">
      <c r="A2395" s="631"/>
      <c r="B2395" s="631"/>
      <c r="C2395" s="631"/>
      <c r="D2395" s="832"/>
      <c r="E2395" s="631"/>
      <c r="F2395" s="631"/>
      <c r="G2395" s="631"/>
      <c r="H2395" s="833"/>
      <c r="I2395" s="834"/>
      <c r="J2395" s="834"/>
      <c r="K2395" s="835"/>
      <c r="L2395" s="835"/>
      <c r="M2395" s="835"/>
      <c r="N2395" s="835"/>
      <c r="O2395" s="835"/>
      <c r="P2395" s="835"/>
      <c r="Q2395" s="540"/>
      <c r="R2395" s="540"/>
      <c r="S2395" s="540"/>
      <c r="T2395" s="540"/>
      <c r="U2395" s="540"/>
      <c r="V2395" s="540"/>
      <c r="W2395" s="540"/>
      <c r="X2395" s="540"/>
      <c r="Y2395" s="540"/>
      <c r="Z2395" s="540"/>
    </row>
    <row r="2396" spans="1:26" ht="19">
      <c r="A2396" s="631"/>
      <c r="B2396" s="631"/>
      <c r="C2396" s="631"/>
      <c r="D2396" s="832"/>
      <c r="E2396" s="631"/>
      <c r="F2396" s="631"/>
      <c r="G2396" s="631"/>
      <c r="H2396" s="833"/>
      <c r="I2396" s="834"/>
      <c r="J2396" s="834"/>
      <c r="K2396" s="835"/>
      <c r="L2396" s="835"/>
      <c r="M2396" s="835"/>
      <c r="N2396" s="835"/>
      <c r="O2396" s="835"/>
      <c r="P2396" s="835"/>
      <c r="Q2396" s="540"/>
      <c r="R2396" s="540"/>
      <c r="S2396" s="540"/>
      <c r="T2396" s="540"/>
      <c r="U2396" s="540"/>
      <c r="V2396" s="540"/>
      <c r="W2396" s="540"/>
      <c r="X2396" s="540"/>
      <c r="Y2396" s="540"/>
      <c r="Z2396" s="540"/>
    </row>
    <row r="2397" spans="1:26" ht="19">
      <c r="A2397" s="631"/>
      <c r="B2397" s="631"/>
      <c r="C2397" s="631"/>
      <c r="D2397" s="832"/>
      <c r="E2397" s="631"/>
      <c r="F2397" s="631"/>
      <c r="G2397" s="631"/>
      <c r="H2397" s="833"/>
      <c r="I2397" s="834"/>
      <c r="J2397" s="834"/>
      <c r="K2397" s="835"/>
      <c r="L2397" s="835"/>
      <c r="M2397" s="835"/>
      <c r="N2397" s="835"/>
      <c r="O2397" s="835"/>
      <c r="P2397" s="835"/>
      <c r="Q2397" s="540"/>
      <c r="R2397" s="540"/>
      <c r="S2397" s="540"/>
      <c r="T2397" s="540"/>
      <c r="U2397" s="540"/>
      <c r="V2397" s="540"/>
      <c r="W2397" s="540"/>
      <c r="X2397" s="540"/>
      <c r="Y2397" s="540"/>
      <c r="Z2397" s="540"/>
    </row>
    <row r="2398" spans="1:26" ht="19">
      <c r="A2398" s="631"/>
      <c r="B2398" s="631"/>
      <c r="C2398" s="631"/>
      <c r="D2398" s="832"/>
      <c r="E2398" s="631"/>
      <c r="F2398" s="631"/>
      <c r="G2398" s="631"/>
      <c r="H2398" s="833"/>
      <c r="I2398" s="834"/>
      <c r="J2398" s="834"/>
      <c r="K2398" s="835"/>
      <c r="L2398" s="835"/>
      <c r="M2398" s="835"/>
      <c r="N2398" s="835"/>
      <c r="O2398" s="835"/>
      <c r="P2398" s="835"/>
      <c r="Q2398" s="540"/>
      <c r="R2398" s="540"/>
      <c r="S2398" s="540"/>
      <c r="T2398" s="540"/>
      <c r="U2398" s="540"/>
      <c r="V2398" s="540"/>
      <c r="W2398" s="540"/>
      <c r="X2398" s="540"/>
      <c r="Y2398" s="540"/>
      <c r="Z2398" s="540"/>
    </row>
    <row r="2399" spans="1:26" ht="19">
      <c r="A2399" s="631"/>
      <c r="B2399" s="631"/>
      <c r="C2399" s="631"/>
      <c r="D2399" s="832"/>
      <c r="E2399" s="631"/>
      <c r="F2399" s="631"/>
      <c r="G2399" s="631"/>
      <c r="H2399" s="833"/>
      <c r="I2399" s="834"/>
      <c r="J2399" s="834"/>
      <c r="K2399" s="835"/>
      <c r="L2399" s="835"/>
      <c r="M2399" s="835"/>
      <c r="N2399" s="835"/>
      <c r="O2399" s="835"/>
      <c r="P2399" s="835"/>
      <c r="Q2399" s="540"/>
      <c r="R2399" s="540"/>
      <c r="S2399" s="540"/>
      <c r="T2399" s="540"/>
      <c r="U2399" s="540"/>
      <c r="V2399" s="540"/>
      <c r="W2399" s="540"/>
      <c r="X2399" s="540"/>
      <c r="Y2399" s="540"/>
      <c r="Z2399" s="540"/>
    </row>
    <row r="2400" spans="1:26" ht="19">
      <c r="A2400" s="631"/>
      <c r="B2400" s="631"/>
      <c r="C2400" s="631"/>
      <c r="D2400" s="832"/>
      <c r="E2400" s="631"/>
      <c r="F2400" s="631"/>
      <c r="G2400" s="631"/>
      <c r="H2400" s="833"/>
      <c r="I2400" s="834"/>
      <c r="J2400" s="834"/>
      <c r="K2400" s="835"/>
      <c r="L2400" s="835"/>
      <c r="M2400" s="835"/>
      <c r="N2400" s="835"/>
      <c r="O2400" s="835"/>
      <c r="P2400" s="835"/>
      <c r="Q2400" s="540"/>
      <c r="R2400" s="540"/>
      <c r="S2400" s="540"/>
      <c r="T2400" s="540"/>
      <c r="U2400" s="540"/>
      <c r="V2400" s="540"/>
      <c r="W2400" s="540"/>
      <c r="X2400" s="540"/>
      <c r="Y2400" s="540"/>
      <c r="Z2400" s="540"/>
    </row>
    <row r="2401" spans="1:26" ht="19">
      <c r="A2401" s="631"/>
      <c r="B2401" s="631"/>
      <c r="C2401" s="631"/>
      <c r="D2401" s="832"/>
      <c r="E2401" s="631"/>
      <c r="F2401" s="631"/>
      <c r="G2401" s="631"/>
      <c r="H2401" s="833"/>
      <c r="I2401" s="834"/>
      <c r="J2401" s="834"/>
      <c r="K2401" s="835"/>
      <c r="L2401" s="835"/>
      <c r="M2401" s="835"/>
      <c r="N2401" s="835"/>
      <c r="O2401" s="835"/>
      <c r="P2401" s="835"/>
      <c r="Q2401" s="540"/>
      <c r="R2401" s="540"/>
      <c r="S2401" s="540"/>
      <c r="T2401" s="540"/>
      <c r="U2401" s="540"/>
      <c r="V2401" s="540"/>
      <c r="W2401" s="540"/>
      <c r="X2401" s="540"/>
      <c r="Y2401" s="540"/>
      <c r="Z2401" s="540"/>
    </row>
    <row r="2402" spans="1:26" ht="19">
      <c r="A2402" s="631"/>
      <c r="B2402" s="631"/>
      <c r="C2402" s="631"/>
      <c r="D2402" s="832"/>
      <c r="E2402" s="631"/>
      <c r="F2402" s="631"/>
      <c r="G2402" s="631"/>
      <c r="H2402" s="833"/>
      <c r="I2402" s="834"/>
      <c r="J2402" s="834"/>
      <c r="K2402" s="835"/>
      <c r="L2402" s="835"/>
      <c r="M2402" s="835"/>
      <c r="N2402" s="835"/>
      <c r="O2402" s="835"/>
      <c r="P2402" s="835"/>
      <c r="Q2402" s="540"/>
      <c r="R2402" s="540"/>
      <c r="S2402" s="540"/>
      <c r="T2402" s="540"/>
      <c r="U2402" s="540"/>
      <c r="V2402" s="540"/>
      <c r="W2402" s="540"/>
      <c r="X2402" s="540"/>
      <c r="Y2402" s="540"/>
      <c r="Z2402" s="540"/>
    </row>
    <row r="2403" spans="1:26" ht="19">
      <c r="A2403" s="631"/>
      <c r="B2403" s="631"/>
      <c r="C2403" s="631"/>
      <c r="D2403" s="832"/>
      <c r="E2403" s="631"/>
      <c r="F2403" s="631"/>
      <c r="G2403" s="631"/>
      <c r="H2403" s="833"/>
      <c r="I2403" s="834"/>
      <c r="J2403" s="834"/>
      <c r="K2403" s="835"/>
      <c r="L2403" s="835"/>
      <c r="M2403" s="835"/>
      <c r="N2403" s="835"/>
      <c r="O2403" s="835"/>
      <c r="P2403" s="835"/>
      <c r="Q2403" s="540"/>
      <c r="R2403" s="540"/>
      <c r="S2403" s="540"/>
      <c r="T2403" s="540"/>
      <c r="U2403" s="540"/>
      <c r="V2403" s="540"/>
      <c r="W2403" s="540"/>
      <c r="X2403" s="540"/>
      <c r="Y2403" s="540"/>
      <c r="Z2403" s="540"/>
    </row>
    <row r="2404" spans="1:26" ht="19">
      <c r="A2404" s="631"/>
      <c r="B2404" s="631"/>
      <c r="C2404" s="631"/>
      <c r="D2404" s="832"/>
      <c r="E2404" s="631"/>
      <c r="F2404" s="631"/>
      <c r="G2404" s="631"/>
      <c r="H2404" s="833"/>
      <c r="I2404" s="834"/>
      <c r="J2404" s="834"/>
      <c r="K2404" s="835"/>
      <c r="L2404" s="835"/>
      <c r="M2404" s="835"/>
      <c r="N2404" s="835"/>
      <c r="O2404" s="835"/>
      <c r="P2404" s="835"/>
      <c r="Q2404" s="540"/>
      <c r="R2404" s="540"/>
      <c r="S2404" s="540"/>
      <c r="T2404" s="540"/>
      <c r="U2404" s="540"/>
      <c r="V2404" s="540"/>
      <c r="W2404" s="540"/>
      <c r="X2404" s="540"/>
      <c r="Y2404" s="540"/>
      <c r="Z2404" s="540"/>
    </row>
    <row r="2405" spans="1:26" ht="19">
      <c r="A2405" s="631"/>
      <c r="B2405" s="631"/>
      <c r="C2405" s="631"/>
      <c r="D2405" s="832"/>
      <c r="E2405" s="631"/>
      <c r="F2405" s="631"/>
      <c r="G2405" s="631"/>
      <c r="H2405" s="833"/>
      <c r="I2405" s="834"/>
      <c r="J2405" s="834"/>
      <c r="K2405" s="835"/>
      <c r="L2405" s="835"/>
      <c r="M2405" s="835"/>
      <c r="N2405" s="835"/>
      <c r="O2405" s="835"/>
      <c r="P2405" s="835"/>
      <c r="Q2405" s="540"/>
      <c r="R2405" s="540"/>
      <c r="S2405" s="540"/>
      <c r="T2405" s="540"/>
      <c r="U2405" s="540"/>
      <c r="V2405" s="540"/>
      <c r="W2405" s="540"/>
      <c r="X2405" s="540"/>
      <c r="Y2405" s="540"/>
      <c r="Z2405" s="540"/>
    </row>
    <row r="2406" spans="1:26" ht="19">
      <c r="A2406" s="631"/>
      <c r="B2406" s="631"/>
      <c r="C2406" s="631"/>
      <c r="D2406" s="832"/>
      <c r="E2406" s="631"/>
      <c r="F2406" s="631"/>
      <c r="G2406" s="631"/>
      <c r="H2406" s="833"/>
      <c r="I2406" s="834"/>
      <c r="J2406" s="834"/>
      <c r="K2406" s="835"/>
      <c r="L2406" s="835"/>
      <c r="M2406" s="835"/>
      <c r="N2406" s="835"/>
      <c r="O2406" s="835"/>
      <c r="P2406" s="835"/>
      <c r="Q2406" s="540"/>
      <c r="R2406" s="540"/>
      <c r="S2406" s="540"/>
      <c r="T2406" s="540"/>
      <c r="U2406" s="540"/>
      <c r="V2406" s="540"/>
      <c r="W2406" s="540"/>
      <c r="X2406" s="540"/>
      <c r="Y2406" s="540"/>
      <c r="Z2406" s="540"/>
    </row>
    <row r="2407" spans="1:26" ht="19">
      <c r="A2407" s="631"/>
      <c r="B2407" s="631"/>
      <c r="C2407" s="631"/>
      <c r="D2407" s="832"/>
      <c r="E2407" s="631"/>
      <c r="F2407" s="631"/>
      <c r="G2407" s="631"/>
      <c r="H2407" s="833"/>
      <c r="I2407" s="834"/>
      <c r="J2407" s="834"/>
      <c r="K2407" s="835"/>
      <c r="L2407" s="835"/>
      <c r="M2407" s="835"/>
      <c r="N2407" s="835"/>
      <c r="O2407" s="835"/>
      <c r="P2407" s="835"/>
      <c r="Q2407" s="540"/>
      <c r="R2407" s="540"/>
      <c r="S2407" s="540"/>
      <c r="T2407" s="540"/>
      <c r="U2407" s="540"/>
      <c r="V2407" s="540"/>
      <c r="W2407" s="540"/>
      <c r="X2407" s="540"/>
      <c r="Y2407" s="540"/>
      <c r="Z2407" s="540"/>
    </row>
    <row r="2408" spans="1:26" ht="19">
      <c r="A2408" s="631"/>
      <c r="B2408" s="631"/>
      <c r="C2408" s="631"/>
      <c r="D2408" s="832"/>
      <c r="E2408" s="631"/>
      <c r="F2408" s="631"/>
      <c r="G2408" s="631"/>
      <c r="H2408" s="833"/>
      <c r="I2408" s="834"/>
      <c r="J2408" s="834"/>
      <c r="K2408" s="835"/>
      <c r="L2408" s="835"/>
      <c r="M2408" s="835"/>
      <c r="N2408" s="835"/>
      <c r="O2408" s="835"/>
      <c r="P2408" s="835"/>
      <c r="Q2408" s="540"/>
      <c r="R2408" s="540"/>
      <c r="S2408" s="540"/>
      <c r="T2408" s="540"/>
      <c r="U2408" s="540"/>
      <c r="V2408" s="540"/>
      <c r="W2408" s="540"/>
      <c r="X2408" s="540"/>
      <c r="Y2408" s="540"/>
      <c r="Z2408" s="540"/>
    </row>
    <row r="2409" spans="1:26" ht="19">
      <c r="A2409" s="631"/>
      <c r="B2409" s="631"/>
      <c r="C2409" s="631"/>
      <c r="D2409" s="832"/>
      <c r="E2409" s="631"/>
      <c r="F2409" s="631"/>
      <c r="G2409" s="631"/>
      <c r="H2409" s="833"/>
      <c r="I2409" s="834"/>
      <c r="J2409" s="834"/>
      <c r="K2409" s="835"/>
      <c r="L2409" s="835"/>
      <c r="M2409" s="835"/>
      <c r="N2409" s="835"/>
      <c r="O2409" s="835"/>
      <c r="P2409" s="835"/>
      <c r="Q2409" s="540"/>
      <c r="R2409" s="540"/>
      <c r="S2409" s="540"/>
      <c r="T2409" s="540"/>
      <c r="U2409" s="540"/>
      <c r="V2409" s="540"/>
      <c r="W2409" s="540"/>
      <c r="X2409" s="540"/>
      <c r="Y2409" s="540"/>
      <c r="Z2409" s="540"/>
    </row>
    <row r="2410" spans="1:26" ht="19">
      <c r="A2410" s="631"/>
      <c r="B2410" s="631"/>
      <c r="C2410" s="631"/>
      <c r="D2410" s="832"/>
      <c r="E2410" s="631"/>
      <c r="F2410" s="631"/>
      <c r="G2410" s="631"/>
      <c r="H2410" s="833"/>
      <c r="I2410" s="834"/>
      <c r="J2410" s="834"/>
      <c r="K2410" s="835"/>
      <c r="L2410" s="835"/>
      <c r="M2410" s="835"/>
      <c r="N2410" s="835"/>
      <c r="O2410" s="835"/>
      <c r="P2410" s="835"/>
      <c r="Q2410" s="540"/>
      <c r="R2410" s="540"/>
      <c r="S2410" s="540"/>
      <c r="T2410" s="540"/>
      <c r="U2410" s="540"/>
      <c r="V2410" s="540"/>
      <c r="W2410" s="540"/>
      <c r="X2410" s="540"/>
      <c r="Y2410" s="540"/>
      <c r="Z2410" s="540"/>
    </row>
    <row r="2411" spans="1:26" ht="19">
      <c r="A2411" s="631"/>
      <c r="B2411" s="631"/>
      <c r="C2411" s="631"/>
      <c r="D2411" s="832"/>
      <c r="E2411" s="631"/>
      <c r="F2411" s="631"/>
      <c r="G2411" s="631"/>
      <c r="H2411" s="833"/>
      <c r="I2411" s="834"/>
      <c r="J2411" s="834"/>
      <c r="K2411" s="835"/>
      <c r="L2411" s="835"/>
      <c r="M2411" s="835"/>
      <c r="N2411" s="835"/>
      <c r="O2411" s="835"/>
      <c r="P2411" s="835"/>
      <c r="Q2411" s="540"/>
      <c r="R2411" s="540"/>
      <c r="S2411" s="540"/>
      <c r="T2411" s="540"/>
      <c r="U2411" s="540"/>
      <c r="V2411" s="540"/>
      <c r="W2411" s="540"/>
      <c r="X2411" s="540"/>
      <c r="Y2411" s="540"/>
      <c r="Z2411" s="540"/>
    </row>
    <row r="2412" spans="1:26" ht="19">
      <c r="A2412" s="631"/>
      <c r="B2412" s="631"/>
      <c r="C2412" s="631"/>
      <c r="D2412" s="832"/>
      <c r="E2412" s="631"/>
      <c r="F2412" s="631"/>
      <c r="G2412" s="631"/>
      <c r="H2412" s="833"/>
      <c r="I2412" s="834"/>
      <c r="J2412" s="834"/>
      <c r="K2412" s="835"/>
      <c r="L2412" s="835"/>
      <c r="M2412" s="835"/>
      <c r="N2412" s="835"/>
      <c r="O2412" s="835"/>
      <c r="P2412" s="835"/>
      <c r="Q2412" s="540"/>
      <c r="R2412" s="540"/>
      <c r="S2412" s="540"/>
      <c r="T2412" s="540"/>
      <c r="U2412" s="540"/>
      <c r="V2412" s="540"/>
      <c r="W2412" s="540"/>
      <c r="X2412" s="540"/>
      <c r="Y2412" s="540"/>
      <c r="Z2412" s="540"/>
    </row>
    <row r="2413" spans="1:26" ht="19">
      <c r="A2413" s="631"/>
      <c r="B2413" s="631"/>
      <c r="C2413" s="631"/>
      <c r="D2413" s="832"/>
      <c r="E2413" s="631"/>
      <c r="F2413" s="631"/>
      <c r="G2413" s="631"/>
      <c r="H2413" s="833"/>
      <c r="I2413" s="834"/>
      <c r="J2413" s="834"/>
      <c r="K2413" s="835"/>
      <c r="L2413" s="835"/>
      <c r="M2413" s="835"/>
      <c r="N2413" s="835"/>
      <c r="O2413" s="835"/>
      <c r="P2413" s="835"/>
      <c r="Q2413" s="540"/>
      <c r="R2413" s="540"/>
      <c r="S2413" s="540"/>
      <c r="T2413" s="540"/>
      <c r="U2413" s="540"/>
      <c r="V2413" s="540"/>
      <c r="W2413" s="540"/>
      <c r="X2413" s="540"/>
      <c r="Y2413" s="540"/>
      <c r="Z2413" s="540"/>
    </row>
    <row r="2414" spans="1:26" ht="19">
      <c r="A2414" s="631"/>
      <c r="B2414" s="631"/>
      <c r="C2414" s="631"/>
      <c r="D2414" s="832"/>
      <c r="E2414" s="631"/>
      <c r="F2414" s="631"/>
      <c r="G2414" s="631"/>
      <c r="H2414" s="833"/>
      <c r="I2414" s="834"/>
      <c r="J2414" s="834"/>
      <c r="K2414" s="835"/>
      <c r="L2414" s="835"/>
      <c r="M2414" s="835"/>
      <c r="N2414" s="835"/>
      <c r="O2414" s="835"/>
      <c r="P2414" s="835"/>
      <c r="Q2414" s="540"/>
      <c r="R2414" s="540"/>
      <c r="S2414" s="540"/>
      <c r="T2414" s="540"/>
      <c r="U2414" s="540"/>
      <c r="V2414" s="540"/>
      <c r="W2414" s="540"/>
      <c r="X2414" s="540"/>
      <c r="Y2414" s="540"/>
      <c r="Z2414" s="540"/>
    </row>
    <row r="2415" spans="1:26" ht="19">
      <c r="A2415" s="631"/>
      <c r="B2415" s="631"/>
      <c r="C2415" s="631"/>
      <c r="D2415" s="832"/>
      <c r="E2415" s="631"/>
      <c r="F2415" s="631"/>
      <c r="G2415" s="631"/>
      <c r="H2415" s="833"/>
      <c r="I2415" s="834"/>
      <c r="J2415" s="834"/>
      <c r="K2415" s="835"/>
      <c r="L2415" s="835"/>
      <c r="M2415" s="835"/>
      <c r="N2415" s="835"/>
      <c r="O2415" s="835"/>
      <c r="P2415" s="835"/>
      <c r="Q2415" s="540"/>
      <c r="R2415" s="540"/>
      <c r="S2415" s="540"/>
      <c r="T2415" s="540"/>
      <c r="U2415" s="540"/>
      <c r="V2415" s="540"/>
      <c r="W2415" s="540"/>
      <c r="X2415" s="540"/>
      <c r="Y2415" s="540"/>
      <c r="Z2415" s="540"/>
    </row>
    <row r="2416" spans="1:26" ht="19">
      <c r="A2416" s="631"/>
      <c r="B2416" s="631"/>
      <c r="C2416" s="631"/>
      <c r="D2416" s="832"/>
      <c r="E2416" s="631"/>
      <c r="F2416" s="631"/>
      <c r="G2416" s="631"/>
      <c r="H2416" s="833"/>
      <c r="I2416" s="834"/>
      <c r="J2416" s="834"/>
      <c r="K2416" s="835"/>
      <c r="L2416" s="835"/>
      <c r="M2416" s="835"/>
      <c r="N2416" s="835"/>
      <c r="O2416" s="835"/>
      <c r="P2416" s="835"/>
      <c r="Q2416" s="540"/>
      <c r="R2416" s="540"/>
      <c r="S2416" s="540"/>
      <c r="T2416" s="540"/>
      <c r="U2416" s="540"/>
      <c r="V2416" s="540"/>
      <c r="W2416" s="540"/>
      <c r="X2416" s="540"/>
      <c r="Y2416" s="540"/>
      <c r="Z2416" s="540"/>
    </row>
    <row r="2417" spans="1:26" ht="19">
      <c r="A2417" s="631"/>
      <c r="B2417" s="631"/>
      <c r="C2417" s="631"/>
      <c r="D2417" s="832"/>
      <c r="E2417" s="631"/>
      <c r="F2417" s="631"/>
      <c r="G2417" s="631"/>
      <c r="H2417" s="833"/>
      <c r="I2417" s="834"/>
      <c r="J2417" s="834"/>
      <c r="K2417" s="835"/>
      <c r="L2417" s="835"/>
      <c r="M2417" s="835"/>
      <c r="N2417" s="835"/>
      <c r="O2417" s="835"/>
      <c r="P2417" s="835"/>
      <c r="Q2417" s="540"/>
      <c r="R2417" s="540"/>
      <c r="S2417" s="540"/>
      <c r="T2417" s="540"/>
      <c r="U2417" s="540"/>
      <c r="V2417" s="540"/>
      <c r="W2417" s="540"/>
      <c r="X2417" s="540"/>
      <c r="Y2417" s="540"/>
      <c r="Z2417" s="540"/>
    </row>
    <row r="2418" spans="1:26" ht="19">
      <c r="A2418" s="631"/>
      <c r="B2418" s="631"/>
      <c r="C2418" s="631"/>
      <c r="D2418" s="832"/>
      <c r="E2418" s="631"/>
      <c r="F2418" s="631"/>
      <c r="G2418" s="631"/>
      <c r="H2418" s="833"/>
      <c r="I2418" s="834"/>
      <c r="J2418" s="834"/>
      <c r="K2418" s="835"/>
      <c r="L2418" s="835"/>
      <c r="M2418" s="835"/>
      <c r="N2418" s="835"/>
      <c r="O2418" s="835"/>
      <c r="P2418" s="835"/>
      <c r="Q2418" s="540"/>
      <c r="R2418" s="540"/>
      <c r="S2418" s="540"/>
      <c r="T2418" s="540"/>
      <c r="U2418" s="540"/>
      <c r="V2418" s="540"/>
      <c r="W2418" s="540"/>
      <c r="X2418" s="540"/>
      <c r="Y2418" s="540"/>
      <c r="Z2418" s="540"/>
    </row>
    <row r="2419" spans="1:26" ht="19">
      <c r="A2419" s="631"/>
      <c r="B2419" s="631"/>
      <c r="C2419" s="631"/>
      <c r="D2419" s="832"/>
      <c r="E2419" s="631"/>
      <c r="F2419" s="631"/>
      <c r="G2419" s="631"/>
      <c r="H2419" s="833"/>
      <c r="I2419" s="834"/>
      <c r="J2419" s="834"/>
      <c r="K2419" s="835"/>
      <c r="L2419" s="835"/>
      <c r="M2419" s="835"/>
      <c r="N2419" s="835"/>
      <c r="O2419" s="835"/>
      <c r="P2419" s="835"/>
      <c r="Q2419" s="540"/>
      <c r="R2419" s="540"/>
      <c r="S2419" s="540"/>
      <c r="T2419" s="540"/>
      <c r="U2419" s="540"/>
      <c r="V2419" s="540"/>
      <c r="W2419" s="540"/>
      <c r="X2419" s="540"/>
      <c r="Y2419" s="540"/>
      <c r="Z2419" s="540"/>
    </row>
    <row r="2420" spans="1:26" ht="19">
      <c r="A2420" s="631"/>
      <c r="B2420" s="631"/>
      <c r="C2420" s="631"/>
      <c r="D2420" s="832"/>
      <c r="E2420" s="631"/>
      <c r="F2420" s="631"/>
      <c r="G2420" s="631"/>
      <c r="H2420" s="833"/>
      <c r="I2420" s="834"/>
      <c r="J2420" s="834"/>
      <c r="K2420" s="835"/>
      <c r="L2420" s="835"/>
      <c r="M2420" s="835"/>
      <c r="N2420" s="835"/>
      <c r="O2420" s="835"/>
      <c r="P2420" s="835"/>
      <c r="Q2420" s="540"/>
      <c r="R2420" s="540"/>
      <c r="S2420" s="540"/>
      <c r="T2420" s="540"/>
      <c r="U2420" s="540"/>
      <c r="V2420" s="540"/>
      <c r="W2420" s="540"/>
      <c r="X2420" s="540"/>
      <c r="Y2420" s="540"/>
      <c r="Z2420" s="540"/>
    </row>
    <row r="2421" spans="1:26" ht="19">
      <c r="A2421" s="631"/>
      <c r="B2421" s="631"/>
      <c r="C2421" s="631"/>
      <c r="D2421" s="832"/>
      <c r="E2421" s="631"/>
      <c r="F2421" s="631"/>
      <c r="G2421" s="631"/>
      <c r="H2421" s="833"/>
      <c r="I2421" s="834"/>
      <c r="J2421" s="834"/>
      <c r="K2421" s="835"/>
      <c r="L2421" s="835"/>
      <c r="M2421" s="835"/>
      <c r="N2421" s="835"/>
      <c r="O2421" s="835"/>
      <c r="P2421" s="835"/>
      <c r="Q2421" s="540"/>
      <c r="R2421" s="540"/>
      <c r="S2421" s="540"/>
      <c r="T2421" s="540"/>
      <c r="U2421" s="540"/>
      <c r="V2421" s="540"/>
      <c r="W2421" s="540"/>
      <c r="X2421" s="540"/>
      <c r="Y2421" s="540"/>
      <c r="Z2421" s="540"/>
    </row>
    <row r="2422" spans="1:26" ht="19">
      <c r="A2422" s="631"/>
      <c r="B2422" s="631"/>
      <c r="C2422" s="631"/>
      <c r="D2422" s="832"/>
      <c r="E2422" s="631"/>
      <c r="F2422" s="631"/>
      <c r="G2422" s="631"/>
      <c r="H2422" s="833"/>
      <c r="I2422" s="834"/>
      <c r="J2422" s="834"/>
      <c r="K2422" s="835"/>
      <c r="L2422" s="835"/>
      <c r="M2422" s="835"/>
      <c r="N2422" s="835"/>
      <c r="O2422" s="835"/>
      <c r="P2422" s="835"/>
      <c r="Q2422" s="540"/>
      <c r="R2422" s="540"/>
      <c r="S2422" s="540"/>
      <c r="T2422" s="540"/>
      <c r="U2422" s="540"/>
      <c r="V2422" s="540"/>
      <c r="W2422" s="540"/>
      <c r="X2422" s="540"/>
      <c r="Y2422" s="540"/>
      <c r="Z2422" s="540"/>
    </row>
    <row r="2423" spans="1:26" ht="19">
      <c r="A2423" s="631"/>
      <c r="B2423" s="631"/>
      <c r="C2423" s="631"/>
      <c r="D2423" s="832"/>
      <c r="E2423" s="631"/>
      <c r="F2423" s="631"/>
      <c r="G2423" s="631"/>
      <c r="H2423" s="833"/>
      <c r="I2423" s="834"/>
      <c r="J2423" s="834"/>
      <c r="K2423" s="835"/>
      <c r="L2423" s="835"/>
      <c r="M2423" s="835"/>
      <c r="N2423" s="835"/>
      <c r="O2423" s="835"/>
      <c r="P2423" s="835"/>
      <c r="Q2423" s="540"/>
      <c r="R2423" s="540"/>
      <c r="S2423" s="540"/>
      <c r="T2423" s="540"/>
      <c r="U2423" s="540"/>
      <c r="V2423" s="540"/>
      <c r="W2423" s="540"/>
      <c r="X2423" s="540"/>
      <c r="Y2423" s="540"/>
      <c r="Z2423" s="540"/>
    </row>
    <row r="2424" spans="1:26" ht="19">
      <c r="A2424" s="631"/>
      <c r="B2424" s="631"/>
      <c r="C2424" s="631"/>
      <c r="D2424" s="832"/>
      <c r="E2424" s="631"/>
      <c r="F2424" s="631"/>
      <c r="G2424" s="631"/>
      <c r="H2424" s="833"/>
      <c r="I2424" s="834"/>
      <c r="J2424" s="834"/>
      <c r="K2424" s="835"/>
      <c r="L2424" s="835"/>
      <c r="M2424" s="835"/>
      <c r="N2424" s="835"/>
      <c r="O2424" s="835"/>
      <c r="P2424" s="835"/>
      <c r="Q2424" s="540"/>
      <c r="R2424" s="540"/>
      <c r="S2424" s="540"/>
      <c r="T2424" s="540"/>
      <c r="U2424" s="540"/>
      <c r="V2424" s="540"/>
      <c r="W2424" s="540"/>
      <c r="X2424" s="540"/>
      <c r="Y2424" s="540"/>
      <c r="Z2424" s="540"/>
    </row>
    <row r="2425" spans="1:26" ht="19">
      <c r="A2425" s="631"/>
      <c r="B2425" s="631"/>
      <c r="C2425" s="631"/>
      <c r="D2425" s="832"/>
      <c r="E2425" s="631"/>
      <c r="F2425" s="631"/>
      <c r="G2425" s="631"/>
      <c r="H2425" s="833"/>
      <c r="I2425" s="834"/>
      <c r="J2425" s="834"/>
      <c r="K2425" s="835"/>
      <c r="L2425" s="835"/>
      <c r="M2425" s="835"/>
      <c r="N2425" s="835"/>
      <c r="O2425" s="835"/>
      <c r="P2425" s="835"/>
      <c r="Q2425" s="540"/>
      <c r="R2425" s="540"/>
      <c r="S2425" s="540"/>
      <c r="T2425" s="540"/>
      <c r="U2425" s="540"/>
      <c r="V2425" s="540"/>
      <c r="W2425" s="540"/>
      <c r="X2425" s="540"/>
      <c r="Y2425" s="540"/>
      <c r="Z2425" s="540"/>
    </row>
    <row r="2426" spans="1:26" ht="19">
      <c r="A2426" s="631"/>
      <c r="B2426" s="631"/>
      <c r="C2426" s="631"/>
      <c r="D2426" s="832"/>
      <c r="E2426" s="631"/>
      <c r="F2426" s="631"/>
      <c r="G2426" s="631"/>
      <c r="H2426" s="833"/>
      <c r="I2426" s="834"/>
      <c r="J2426" s="834"/>
      <c r="K2426" s="835"/>
      <c r="L2426" s="835"/>
      <c r="M2426" s="835"/>
      <c r="N2426" s="835"/>
      <c r="O2426" s="835"/>
      <c r="P2426" s="835"/>
      <c r="Q2426" s="540"/>
      <c r="R2426" s="540"/>
      <c r="S2426" s="540"/>
      <c r="T2426" s="540"/>
      <c r="U2426" s="540"/>
      <c r="V2426" s="540"/>
      <c r="W2426" s="540"/>
      <c r="X2426" s="540"/>
      <c r="Y2426" s="540"/>
      <c r="Z2426" s="540"/>
    </row>
    <row r="2427" spans="1:26" ht="19">
      <c r="A2427" s="631"/>
      <c r="B2427" s="631"/>
      <c r="C2427" s="631"/>
      <c r="D2427" s="832"/>
      <c r="E2427" s="631"/>
      <c r="F2427" s="631"/>
      <c r="G2427" s="631"/>
      <c r="H2427" s="833"/>
      <c r="I2427" s="834"/>
      <c r="J2427" s="834"/>
      <c r="K2427" s="835"/>
      <c r="L2427" s="835"/>
      <c r="M2427" s="835"/>
      <c r="N2427" s="835"/>
      <c r="O2427" s="835"/>
      <c r="P2427" s="835"/>
      <c r="Q2427" s="540"/>
      <c r="R2427" s="540"/>
      <c r="S2427" s="540"/>
      <c r="T2427" s="540"/>
      <c r="U2427" s="540"/>
      <c r="V2427" s="540"/>
      <c r="W2427" s="540"/>
      <c r="X2427" s="540"/>
      <c r="Y2427" s="540"/>
      <c r="Z2427" s="540"/>
    </row>
    <row r="2428" spans="1:26" ht="19">
      <c r="A2428" s="631"/>
      <c r="B2428" s="631"/>
      <c r="C2428" s="631"/>
      <c r="D2428" s="832"/>
      <c r="E2428" s="631"/>
      <c r="F2428" s="631"/>
      <c r="G2428" s="631"/>
      <c r="H2428" s="833"/>
      <c r="I2428" s="834"/>
      <c r="J2428" s="834"/>
      <c r="K2428" s="835"/>
      <c r="L2428" s="835"/>
      <c r="M2428" s="835"/>
      <c r="N2428" s="835"/>
      <c r="O2428" s="835"/>
      <c r="P2428" s="835"/>
      <c r="Q2428" s="540"/>
      <c r="R2428" s="540"/>
      <c r="S2428" s="540"/>
      <c r="T2428" s="540"/>
      <c r="U2428" s="540"/>
      <c r="V2428" s="540"/>
      <c r="W2428" s="540"/>
      <c r="X2428" s="540"/>
      <c r="Y2428" s="540"/>
      <c r="Z2428" s="540"/>
    </row>
    <row r="2429" spans="1:26" ht="19">
      <c r="A2429" s="631"/>
      <c r="B2429" s="631"/>
      <c r="C2429" s="631"/>
      <c r="D2429" s="832"/>
      <c r="E2429" s="631"/>
      <c r="F2429" s="631"/>
      <c r="G2429" s="631"/>
      <c r="H2429" s="833"/>
      <c r="I2429" s="834"/>
      <c r="J2429" s="834"/>
      <c r="K2429" s="835"/>
      <c r="L2429" s="835"/>
      <c r="M2429" s="835"/>
      <c r="N2429" s="835"/>
      <c r="O2429" s="835"/>
      <c r="P2429" s="835"/>
      <c r="Q2429" s="540"/>
      <c r="R2429" s="540"/>
      <c r="S2429" s="540"/>
      <c r="T2429" s="540"/>
      <c r="U2429" s="540"/>
      <c r="V2429" s="540"/>
      <c r="W2429" s="540"/>
      <c r="X2429" s="540"/>
      <c r="Y2429" s="540"/>
      <c r="Z2429" s="540"/>
    </row>
    <row r="2430" spans="1:26" ht="19">
      <c r="A2430" s="631"/>
      <c r="B2430" s="631"/>
      <c r="C2430" s="631"/>
      <c r="D2430" s="832"/>
      <c r="E2430" s="631"/>
      <c r="F2430" s="631"/>
      <c r="G2430" s="631"/>
      <c r="H2430" s="833"/>
      <c r="I2430" s="834"/>
      <c r="J2430" s="834"/>
      <c r="K2430" s="835"/>
      <c r="L2430" s="835"/>
      <c r="M2430" s="835"/>
      <c r="N2430" s="835"/>
      <c r="O2430" s="835"/>
      <c r="P2430" s="835"/>
      <c r="Q2430" s="540"/>
      <c r="R2430" s="540"/>
      <c r="S2430" s="540"/>
      <c r="T2430" s="540"/>
      <c r="U2430" s="540"/>
      <c r="V2430" s="540"/>
      <c r="W2430" s="540"/>
      <c r="X2430" s="540"/>
      <c r="Y2430" s="540"/>
      <c r="Z2430" s="540"/>
    </row>
    <row r="2431" spans="1:26" ht="19">
      <c r="A2431" s="631"/>
      <c r="B2431" s="631"/>
      <c r="C2431" s="631"/>
      <c r="D2431" s="832"/>
      <c r="E2431" s="631"/>
      <c r="F2431" s="631"/>
      <c r="G2431" s="631"/>
      <c r="H2431" s="833"/>
      <c r="I2431" s="834"/>
      <c r="J2431" s="834"/>
      <c r="K2431" s="835"/>
      <c r="L2431" s="835"/>
      <c r="M2431" s="835"/>
      <c r="N2431" s="835"/>
      <c r="O2431" s="835"/>
      <c r="P2431" s="835"/>
      <c r="Q2431" s="540"/>
      <c r="R2431" s="540"/>
      <c r="S2431" s="540"/>
      <c r="T2431" s="540"/>
      <c r="U2431" s="540"/>
      <c r="V2431" s="540"/>
      <c r="W2431" s="540"/>
      <c r="X2431" s="540"/>
      <c r="Y2431" s="540"/>
      <c r="Z2431" s="540"/>
    </row>
    <row r="2432" spans="1:26" ht="19">
      <c r="A2432" s="631"/>
      <c r="B2432" s="631"/>
      <c r="C2432" s="631"/>
      <c r="D2432" s="832"/>
      <c r="E2432" s="631"/>
      <c r="F2432" s="631"/>
      <c r="G2432" s="631"/>
      <c r="H2432" s="833"/>
      <c r="I2432" s="834"/>
      <c r="J2432" s="834"/>
      <c r="K2432" s="835"/>
      <c r="L2432" s="835"/>
      <c r="M2432" s="835"/>
      <c r="N2432" s="835"/>
      <c r="O2432" s="835"/>
      <c r="P2432" s="835"/>
      <c r="Q2432" s="540"/>
      <c r="R2432" s="540"/>
      <c r="S2432" s="540"/>
      <c r="T2432" s="540"/>
      <c r="U2432" s="540"/>
      <c r="V2432" s="540"/>
      <c r="W2432" s="540"/>
      <c r="X2432" s="540"/>
      <c r="Y2432" s="540"/>
      <c r="Z2432" s="540"/>
    </row>
    <row r="2433" spans="1:26" ht="19">
      <c r="A2433" s="631"/>
      <c r="B2433" s="631"/>
      <c r="C2433" s="631"/>
      <c r="D2433" s="832"/>
      <c r="E2433" s="631"/>
      <c r="F2433" s="631"/>
      <c r="G2433" s="631"/>
      <c r="H2433" s="833"/>
      <c r="I2433" s="834"/>
      <c r="J2433" s="834"/>
      <c r="K2433" s="835"/>
      <c r="L2433" s="835"/>
      <c r="M2433" s="835"/>
      <c r="N2433" s="835"/>
      <c r="O2433" s="835"/>
      <c r="P2433" s="835"/>
      <c r="Q2433" s="540"/>
      <c r="R2433" s="540"/>
      <c r="S2433" s="540"/>
      <c r="T2433" s="540"/>
      <c r="U2433" s="540"/>
      <c r="V2433" s="540"/>
      <c r="W2433" s="540"/>
      <c r="X2433" s="540"/>
      <c r="Y2433" s="540"/>
      <c r="Z2433" s="540"/>
    </row>
    <row r="2434" spans="1:26" ht="19">
      <c r="A2434" s="631"/>
      <c r="B2434" s="631"/>
      <c r="C2434" s="631"/>
      <c r="D2434" s="832"/>
      <c r="E2434" s="631"/>
      <c r="F2434" s="631"/>
      <c r="G2434" s="631"/>
      <c r="H2434" s="833"/>
      <c r="I2434" s="834"/>
      <c r="J2434" s="834"/>
      <c r="K2434" s="835"/>
      <c r="L2434" s="835"/>
      <c r="M2434" s="835"/>
      <c r="N2434" s="835"/>
      <c r="O2434" s="835"/>
      <c r="P2434" s="835"/>
      <c r="Q2434" s="540"/>
      <c r="R2434" s="540"/>
      <c r="S2434" s="540"/>
      <c r="T2434" s="540"/>
      <c r="U2434" s="540"/>
      <c r="V2434" s="540"/>
      <c r="W2434" s="540"/>
      <c r="X2434" s="540"/>
      <c r="Y2434" s="540"/>
      <c r="Z2434" s="540"/>
    </row>
    <row r="2435" spans="1:26" ht="19">
      <c r="A2435" s="631"/>
      <c r="B2435" s="631"/>
      <c r="C2435" s="631"/>
      <c r="D2435" s="832"/>
      <c r="E2435" s="631"/>
      <c r="F2435" s="631"/>
      <c r="G2435" s="631"/>
      <c r="H2435" s="833"/>
      <c r="I2435" s="834"/>
      <c r="J2435" s="834"/>
      <c r="K2435" s="835"/>
      <c r="L2435" s="835"/>
      <c r="M2435" s="835"/>
      <c r="N2435" s="835"/>
      <c r="O2435" s="835"/>
      <c r="P2435" s="835"/>
      <c r="Q2435" s="540"/>
      <c r="R2435" s="540"/>
      <c r="S2435" s="540"/>
      <c r="T2435" s="540"/>
      <c r="U2435" s="540"/>
      <c r="V2435" s="540"/>
      <c r="W2435" s="540"/>
      <c r="X2435" s="540"/>
      <c r="Y2435" s="540"/>
      <c r="Z2435" s="540"/>
    </row>
    <row r="2436" spans="1:26" ht="19">
      <c r="A2436" s="631"/>
      <c r="B2436" s="631"/>
      <c r="C2436" s="631"/>
      <c r="D2436" s="832"/>
      <c r="E2436" s="631"/>
      <c r="F2436" s="631"/>
      <c r="G2436" s="631"/>
      <c r="H2436" s="833"/>
      <c r="I2436" s="834"/>
      <c r="J2436" s="834"/>
      <c r="K2436" s="835"/>
      <c r="L2436" s="835"/>
      <c r="M2436" s="835"/>
      <c r="N2436" s="835"/>
      <c r="O2436" s="835"/>
      <c r="P2436" s="835"/>
      <c r="Q2436" s="540"/>
      <c r="R2436" s="540"/>
      <c r="S2436" s="540"/>
      <c r="T2436" s="540"/>
      <c r="U2436" s="540"/>
      <c r="V2436" s="540"/>
      <c r="W2436" s="540"/>
      <c r="X2436" s="540"/>
      <c r="Y2436" s="540"/>
      <c r="Z2436" s="540"/>
    </row>
    <row r="2437" spans="1:26" ht="19">
      <c r="A2437" s="631"/>
      <c r="B2437" s="631"/>
      <c r="C2437" s="631"/>
      <c r="D2437" s="832"/>
      <c r="E2437" s="631"/>
      <c r="F2437" s="631"/>
      <c r="G2437" s="631"/>
      <c r="H2437" s="833"/>
      <c r="I2437" s="834"/>
      <c r="J2437" s="834"/>
      <c r="K2437" s="835"/>
      <c r="L2437" s="835"/>
      <c r="M2437" s="835"/>
      <c r="N2437" s="835"/>
      <c r="O2437" s="835"/>
      <c r="P2437" s="835"/>
      <c r="Q2437" s="540"/>
      <c r="R2437" s="540"/>
      <c r="S2437" s="540"/>
      <c r="T2437" s="540"/>
      <c r="U2437" s="540"/>
      <c r="V2437" s="540"/>
      <c r="W2437" s="540"/>
      <c r="X2437" s="540"/>
      <c r="Y2437" s="540"/>
      <c r="Z2437" s="540"/>
    </row>
    <row r="2438" spans="1:26" ht="19">
      <c r="A2438" s="631"/>
      <c r="B2438" s="631"/>
      <c r="C2438" s="631"/>
      <c r="D2438" s="832"/>
      <c r="E2438" s="631"/>
      <c r="F2438" s="631"/>
      <c r="G2438" s="631"/>
      <c r="H2438" s="833"/>
      <c r="I2438" s="834"/>
      <c r="J2438" s="834"/>
      <c r="K2438" s="835"/>
      <c r="L2438" s="835"/>
      <c r="M2438" s="835"/>
      <c r="N2438" s="835"/>
      <c r="O2438" s="835"/>
      <c r="P2438" s="835"/>
      <c r="Q2438" s="540"/>
      <c r="R2438" s="540"/>
      <c r="S2438" s="540"/>
      <c r="T2438" s="540"/>
      <c r="U2438" s="540"/>
      <c r="V2438" s="540"/>
      <c r="W2438" s="540"/>
      <c r="X2438" s="540"/>
      <c r="Y2438" s="540"/>
      <c r="Z2438" s="540"/>
    </row>
    <row r="2439" spans="1:26" ht="19">
      <c r="A2439" s="631"/>
      <c r="B2439" s="631"/>
      <c r="C2439" s="631"/>
      <c r="D2439" s="832"/>
      <c r="E2439" s="631"/>
      <c r="F2439" s="631"/>
      <c r="G2439" s="631"/>
      <c r="H2439" s="833"/>
      <c r="I2439" s="834"/>
      <c r="J2439" s="834"/>
      <c r="K2439" s="835"/>
      <c r="L2439" s="835"/>
      <c r="M2439" s="835"/>
      <c r="N2439" s="835"/>
      <c r="O2439" s="835"/>
      <c r="P2439" s="835"/>
      <c r="Q2439" s="540"/>
      <c r="R2439" s="540"/>
      <c r="S2439" s="540"/>
      <c r="T2439" s="540"/>
      <c r="U2439" s="540"/>
      <c r="V2439" s="540"/>
      <c r="W2439" s="540"/>
      <c r="X2439" s="540"/>
      <c r="Y2439" s="540"/>
      <c r="Z2439" s="540"/>
    </row>
    <row r="2440" spans="1:26" ht="19">
      <c r="A2440" s="631"/>
      <c r="B2440" s="631"/>
      <c r="C2440" s="631"/>
      <c r="D2440" s="832"/>
      <c r="E2440" s="631"/>
      <c r="F2440" s="631"/>
      <c r="G2440" s="631"/>
      <c r="H2440" s="833"/>
      <c r="I2440" s="834"/>
      <c r="J2440" s="834"/>
      <c r="K2440" s="835"/>
      <c r="L2440" s="835"/>
      <c r="M2440" s="835"/>
      <c r="N2440" s="835"/>
      <c r="O2440" s="835"/>
      <c r="P2440" s="835"/>
      <c r="Q2440" s="540"/>
      <c r="R2440" s="540"/>
      <c r="S2440" s="540"/>
      <c r="T2440" s="540"/>
      <c r="U2440" s="540"/>
      <c r="V2440" s="540"/>
      <c r="W2440" s="540"/>
      <c r="X2440" s="540"/>
      <c r="Y2440" s="540"/>
      <c r="Z2440" s="540"/>
    </row>
    <row r="2441" spans="1:26" ht="19">
      <c r="A2441" s="631"/>
      <c r="B2441" s="631"/>
      <c r="C2441" s="631"/>
      <c r="D2441" s="832"/>
      <c r="E2441" s="631"/>
      <c r="F2441" s="631"/>
      <c r="G2441" s="631"/>
      <c r="H2441" s="833"/>
      <c r="I2441" s="834"/>
      <c r="J2441" s="834"/>
      <c r="K2441" s="835"/>
      <c r="L2441" s="835"/>
      <c r="M2441" s="835"/>
      <c r="N2441" s="835"/>
      <c r="O2441" s="835"/>
      <c r="P2441" s="835"/>
      <c r="Q2441" s="540"/>
      <c r="R2441" s="540"/>
      <c r="S2441" s="540"/>
      <c r="T2441" s="540"/>
      <c r="U2441" s="540"/>
      <c r="V2441" s="540"/>
      <c r="W2441" s="540"/>
      <c r="X2441" s="540"/>
      <c r="Y2441" s="540"/>
      <c r="Z2441" s="540"/>
    </row>
    <row r="2442" spans="1:26" ht="19">
      <c r="A2442" s="631"/>
      <c r="B2442" s="631"/>
      <c r="C2442" s="631"/>
      <c r="D2442" s="832"/>
      <c r="E2442" s="631"/>
      <c r="F2442" s="631"/>
      <c r="G2442" s="631"/>
      <c r="H2442" s="833"/>
      <c r="I2442" s="834"/>
      <c r="J2442" s="834"/>
      <c r="K2442" s="835"/>
      <c r="L2442" s="835"/>
      <c r="M2442" s="835"/>
      <c r="N2442" s="835"/>
      <c r="O2442" s="835"/>
      <c r="P2442" s="835"/>
      <c r="Q2442" s="540"/>
      <c r="R2442" s="540"/>
      <c r="S2442" s="540"/>
      <c r="T2442" s="540"/>
      <c r="U2442" s="540"/>
      <c r="V2442" s="540"/>
      <c r="W2442" s="540"/>
      <c r="X2442" s="540"/>
      <c r="Y2442" s="540"/>
      <c r="Z2442" s="540"/>
    </row>
    <row r="2443" spans="1:26" ht="19">
      <c r="A2443" s="631"/>
      <c r="B2443" s="631"/>
      <c r="C2443" s="631"/>
      <c r="D2443" s="832"/>
      <c r="E2443" s="631"/>
      <c r="F2443" s="631"/>
      <c r="G2443" s="631"/>
      <c r="H2443" s="833"/>
      <c r="I2443" s="834"/>
      <c r="J2443" s="834"/>
      <c r="K2443" s="835"/>
      <c r="L2443" s="835"/>
      <c r="M2443" s="835"/>
      <c r="N2443" s="835"/>
      <c r="O2443" s="835"/>
      <c r="P2443" s="835"/>
      <c r="Q2443" s="540"/>
      <c r="R2443" s="540"/>
      <c r="S2443" s="540"/>
      <c r="T2443" s="540"/>
      <c r="U2443" s="540"/>
      <c r="V2443" s="540"/>
      <c r="W2443" s="540"/>
      <c r="X2443" s="540"/>
      <c r="Y2443" s="540"/>
      <c r="Z2443" s="540"/>
    </row>
    <row r="2444" spans="1:26" ht="19">
      <c r="A2444" s="631"/>
      <c r="B2444" s="631"/>
      <c r="C2444" s="631"/>
      <c r="D2444" s="832"/>
      <c r="E2444" s="631"/>
      <c r="F2444" s="631"/>
      <c r="G2444" s="631"/>
      <c r="H2444" s="833"/>
      <c r="I2444" s="834"/>
      <c r="J2444" s="834"/>
      <c r="K2444" s="835"/>
      <c r="L2444" s="835"/>
      <c r="M2444" s="835"/>
      <c r="N2444" s="835"/>
      <c r="O2444" s="835"/>
      <c r="P2444" s="835"/>
      <c r="Q2444" s="540"/>
      <c r="R2444" s="540"/>
      <c r="S2444" s="540"/>
      <c r="T2444" s="540"/>
      <c r="U2444" s="540"/>
      <c r="V2444" s="540"/>
      <c r="W2444" s="540"/>
      <c r="X2444" s="540"/>
      <c r="Y2444" s="540"/>
      <c r="Z2444" s="540"/>
    </row>
    <row r="2445" spans="1:26" ht="19">
      <c r="A2445" s="631"/>
      <c r="B2445" s="631"/>
      <c r="C2445" s="631"/>
      <c r="D2445" s="832"/>
      <c r="E2445" s="631"/>
      <c r="F2445" s="631"/>
      <c r="G2445" s="631"/>
      <c r="H2445" s="833"/>
      <c r="I2445" s="834"/>
      <c r="J2445" s="834"/>
      <c r="K2445" s="835"/>
      <c r="L2445" s="835"/>
      <c r="M2445" s="835"/>
      <c r="N2445" s="835"/>
      <c r="O2445" s="835"/>
      <c r="P2445" s="835"/>
      <c r="Q2445" s="540"/>
      <c r="R2445" s="540"/>
      <c r="S2445" s="540"/>
      <c r="T2445" s="540"/>
      <c r="U2445" s="540"/>
      <c r="V2445" s="540"/>
      <c r="W2445" s="540"/>
      <c r="X2445" s="540"/>
      <c r="Y2445" s="540"/>
      <c r="Z2445" s="540"/>
    </row>
    <row r="2446" spans="1:26" ht="19">
      <c r="A2446" s="631"/>
      <c r="B2446" s="631"/>
      <c r="C2446" s="631"/>
      <c r="D2446" s="832"/>
      <c r="E2446" s="631"/>
      <c r="F2446" s="631"/>
      <c r="G2446" s="631"/>
      <c r="H2446" s="833"/>
      <c r="I2446" s="834"/>
      <c r="J2446" s="834"/>
      <c r="K2446" s="835"/>
      <c r="L2446" s="835"/>
      <c r="M2446" s="835"/>
      <c r="N2446" s="835"/>
      <c r="O2446" s="835"/>
      <c r="P2446" s="835"/>
      <c r="Q2446" s="540"/>
      <c r="R2446" s="540"/>
      <c r="S2446" s="540"/>
      <c r="T2446" s="540"/>
      <c r="U2446" s="540"/>
      <c r="V2446" s="540"/>
      <c r="W2446" s="540"/>
      <c r="X2446" s="540"/>
      <c r="Y2446" s="540"/>
      <c r="Z2446" s="540"/>
    </row>
    <row r="2447" spans="1:26" ht="19">
      <c r="A2447" s="631"/>
      <c r="B2447" s="631"/>
      <c r="C2447" s="631"/>
      <c r="D2447" s="832"/>
      <c r="E2447" s="631"/>
      <c r="F2447" s="631"/>
      <c r="G2447" s="631"/>
      <c r="H2447" s="833"/>
      <c r="I2447" s="834"/>
      <c r="J2447" s="834"/>
      <c r="K2447" s="835"/>
      <c r="L2447" s="835"/>
      <c r="M2447" s="835"/>
      <c r="N2447" s="835"/>
      <c r="O2447" s="835"/>
      <c r="P2447" s="835"/>
      <c r="Q2447" s="540"/>
      <c r="R2447" s="540"/>
      <c r="S2447" s="540"/>
      <c r="T2447" s="540"/>
      <c r="U2447" s="540"/>
      <c r="V2447" s="540"/>
      <c r="W2447" s="540"/>
      <c r="X2447" s="540"/>
      <c r="Y2447" s="540"/>
      <c r="Z2447" s="540"/>
    </row>
    <row r="2448" spans="1:26" ht="19">
      <c r="A2448" s="631"/>
      <c r="B2448" s="631"/>
      <c r="C2448" s="631"/>
      <c r="D2448" s="832"/>
      <c r="E2448" s="631"/>
      <c r="F2448" s="631"/>
      <c r="G2448" s="631"/>
      <c r="H2448" s="833"/>
      <c r="I2448" s="834"/>
      <c r="J2448" s="834"/>
      <c r="K2448" s="835"/>
      <c r="L2448" s="835"/>
      <c r="M2448" s="835"/>
      <c r="N2448" s="835"/>
      <c r="O2448" s="835"/>
      <c r="P2448" s="835"/>
      <c r="Q2448" s="540"/>
      <c r="R2448" s="540"/>
      <c r="S2448" s="540"/>
      <c r="T2448" s="540"/>
      <c r="U2448" s="540"/>
      <c r="V2448" s="540"/>
      <c r="W2448" s="540"/>
      <c r="X2448" s="540"/>
      <c r="Y2448" s="540"/>
      <c r="Z2448" s="540"/>
    </row>
    <row r="2449" spans="1:26" ht="19">
      <c r="A2449" s="631"/>
      <c r="B2449" s="631"/>
      <c r="C2449" s="631"/>
      <c r="D2449" s="832"/>
      <c r="E2449" s="631"/>
      <c r="F2449" s="631"/>
      <c r="G2449" s="631"/>
      <c r="H2449" s="833"/>
      <c r="I2449" s="834"/>
      <c r="J2449" s="834"/>
      <c r="K2449" s="835"/>
      <c r="L2449" s="835"/>
      <c r="M2449" s="835"/>
      <c r="N2449" s="835"/>
      <c r="O2449" s="835"/>
      <c r="P2449" s="835"/>
      <c r="Q2449" s="540"/>
      <c r="R2449" s="540"/>
      <c r="S2449" s="540"/>
      <c r="T2449" s="540"/>
      <c r="U2449" s="540"/>
      <c r="V2449" s="540"/>
      <c r="W2449" s="540"/>
      <c r="X2449" s="540"/>
      <c r="Y2449" s="540"/>
      <c r="Z2449" s="540"/>
    </row>
    <row r="2450" spans="1:26" ht="19">
      <c r="A2450" s="631"/>
      <c r="B2450" s="631"/>
      <c r="C2450" s="631"/>
      <c r="D2450" s="832"/>
      <c r="E2450" s="631"/>
      <c r="F2450" s="631"/>
      <c r="G2450" s="631"/>
      <c r="H2450" s="833"/>
      <c r="I2450" s="834"/>
      <c r="J2450" s="834"/>
      <c r="K2450" s="835"/>
      <c r="L2450" s="835"/>
      <c r="M2450" s="835"/>
      <c r="N2450" s="835"/>
      <c r="O2450" s="835"/>
      <c r="P2450" s="835"/>
      <c r="Q2450" s="540"/>
      <c r="R2450" s="540"/>
      <c r="S2450" s="540"/>
      <c r="T2450" s="540"/>
      <c r="U2450" s="540"/>
      <c r="V2450" s="540"/>
      <c r="W2450" s="540"/>
      <c r="X2450" s="540"/>
      <c r="Y2450" s="540"/>
      <c r="Z2450" s="540"/>
    </row>
    <row r="2451" spans="1:26" ht="19">
      <c r="A2451" s="631"/>
      <c r="B2451" s="631"/>
      <c r="C2451" s="631"/>
      <c r="D2451" s="832"/>
      <c r="E2451" s="631"/>
      <c r="F2451" s="631"/>
      <c r="G2451" s="631"/>
      <c r="H2451" s="833"/>
      <c r="I2451" s="834"/>
      <c r="J2451" s="834"/>
      <c r="K2451" s="835"/>
      <c r="L2451" s="835"/>
      <c r="M2451" s="835"/>
      <c r="N2451" s="835"/>
      <c r="O2451" s="835"/>
      <c r="P2451" s="835"/>
      <c r="Q2451" s="540"/>
      <c r="R2451" s="540"/>
      <c r="S2451" s="540"/>
      <c r="T2451" s="540"/>
      <c r="U2451" s="540"/>
      <c r="V2451" s="540"/>
      <c r="W2451" s="540"/>
      <c r="X2451" s="540"/>
      <c r="Y2451" s="540"/>
      <c r="Z2451" s="540"/>
    </row>
    <row r="2452" spans="1:26" ht="19">
      <c r="A2452" s="631"/>
      <c r="B2452" s="631"/>
      <c r="C2452" s="631"/>
      <c r="D2452" s="832"/>
      <c r="E2452" s="631"/>
      <c r="F2452" s="631"/>
      <c r="G2452" s="631"/>
      <c r="H2452" s="833"/>
      <c r="I2452" s="834"/>
      <c r="J2452" s="834"/>
      <c r="K2452" s="835"/>
      <c r="L2452" s="835"/>
      <c r="M2452" s="835"/>
      <c r="N2452" s="835"/>
      <c r="O2452" s="835"/>
      <c r="P2452" s="835"/>
      <c r="Q2452" s="540"/>
      <c r="R2452" s="540"/>
      <c r="S2452" s="540"/>
      <c r="T2452" s="540"/>
      <c r="U2452" s="540"/>
      <c r="V2452" s="540"/>
      <c r="W2452" s="540"/>
      <c r="X2452" s="540"/>
      <c r="Y2452" s="540"/>
      <c r="Z2452" s="540"/>
    </row>
    <row r="2453" spans="1:26" ht="19">
      <c r="A2453" s="631"/>
      <c r="B2453" s="631"/>
      <c r="C2453" s="631"/>
      <c r="D2453" s="832"/>
      <c r="E2453" s="631"/>
      <c r="F2453" s="631"/>
      <c r="G2453" s="631"/>
      <c r="H2453" s="833"/>
      <c r="I2453" s="834"/>
      <c r="J2453" s="834"/>
      <c r="K2453" s="835"/>
      <c r="L2453" s="835"/>
      <c r="M2453" s="835"/>
      <c r="N2453" s="835"/>
      <c r="O2453" s="835"/>
      <c r="P2453" s="835"/>
      <c r="Q2453" s="540"/>
      <c r="R2453" s="540"/>
      <c r="S2453" s="540"/>
      <c r="T2453" s="540"/>
      <c r="U2453" s="540"/>
      <c r="V2453" s="540"/>
      <c r="W2453" s="540"/>
      <c r="X2453" s="540"/>
      <c r="Y2453" s="540"/>
      <c r="Z2453" s="540"/>
    </row>
    <row r="2454" spans="1:26" ht="19">
      <c r="A2454" s="631"/>
      <c r="B2454" s="631"/>
      <c r="C2454" s="631"/>
      <c r="D2454" s="832"/>
      <c r="E2454" s="631"/>
      <c r="F2454" s="631"/>
      <c r="G2454" s="631"/>
      <c r="H2454" s="833"/>
      <c r="I2454" s="834"/>
      <c r="J2454" s="834"/>
      <c r="K2454" s="835"/>
      <c r="L2454" s="835"/>
      <c r="M2454" s="835"/>
      <c r="N2454" s="835"/>
      <c r="O2454" s="835"/>
      <c r="P2454" s="835"/>
      <c r="Q2454" s="540"/>
      <c r="R2454" s="540"/>
      <c r="S2454" s="540"/>
      <c r="T2454" s="540"/>
      <c r="U2454" s="540"/>
      <c r="V2454" s="540"/>
      <c r="W2454" s="540"/>
      <c r="X2454" s="540"/>
      <c r="Y2454" s="540"/>
      <c r="Z2454" s="540"/>
    </row>
    <row r="2455" spans="1:26" ht="19">
      <c r="A2455" s="631"/>
      <c r="B2455" s="631"/>
      <c r="C2455" s="631"/>
      <c r="D2455" s="832"/>
      <c r="E2455" s="631"/>
      <c r="F2455" s="631"/>
      <c r="G2455" s="631"/>
      <c r="H2455" s="833"/>
      <c r="I2455" s="834"/>
      <c r="J2455" s="834"/>
      <c r="K2455" s="835"/>
      <c r="L2455" s="835"/>
      <c r="M2455" s="835"/>
      <c r="N2455" s="835"/>
      <c r="O2455" s="835"/>
      <c r="P2455" s="835"/>
      <c r="Q2455" s="540"/>
      <c r="R2455" s="540"/>
      <c r="S2455" s="540"/>
      <c r="T2455" s="540"/>
      <c r="U2455" s="540"/>
      <c r="V2455" s="540"/>
      <c r="W2455" s="540"/>
      <c r="X2455" s="540"/>
      <c r="Y2455" s="540"/>
      <c r="Z2455" s="540"/>
    </row>
    <row r="2456" spans="1:26" ht="19">
      <c r="A2456" s="631"/>
      <c r="B2456" s="631"/>
      <c r="C2456" s="631"/>
      <c r="D2456" s="832"/>
      <c r="E2456" s="631"/>
      <c r="F2456" s="631"/>
      <c r="G2456" s="631"/>
      <c r="H2456" s="833"/>
      <c r="I2456" s="834"/>
      <c r="J2456" s="834"/>
      <c r="K2456" s="835"/>
      <c r="L2456" s="835"/>
      <c r="M2456" s="835"/>
      <c r="N2456" s="835"/>
      <c r="O2456" s="835"/>
      <c r="P2456" s="835"/>
      <c r="Q2456" s="540"/>
      <c r="R2456" s="540"/>
      <c r="S2456" s="540"/>
      <c r="T2456" s="540"/>
      <c r="U2456" s="540"/>
      <c r="V2456" s="540"/>
      <c r="W2456" s="540"/>
      <c r="X2456" s="540"/>
      <c r="Y2456" s="540"/>
      <c r="Z2456" s="540"/>
    </row>
    <row r="2457" spans="1:26" ht="19">
      <c r="A2457" s="631"/>
      <c r="B2457" s="631"/>
      <c r="C2457" s="631"/>
      <c r="D2457" s="832"/>
      <c r="E2457" s="631"/>
      <c r="F2457" s="631"/>
      <c r="G2457" s="631"/>
      <c r="H2457" s="833"/>
      <c r="I2457" s="834"/>
      <c r="J2457" s="834"/>
      <c r="K2457" s="835"/>
      <c r="L2457" s="835"/>
      <c r="M2457" s="835"/>
      <c r="N2457" s="835"/>
      <c r="O2457" s="835"/>
      <c r="P2457" s="835"/>
      <c r="Q2457" s="540"/>
      <c r="R2457" s="540"/>
      <c r="S2457" s="540"/>
      <c r="T2457" s="540"/>
      <c r="U2457" s="540"/>
      <c r="V2457" s="540"/>
      <c r="W2457" s="540"/>
      <c r="X2457" s="540"/>
      <c r="Y2457" s="540"/>
      <c r="Z2457" s="540"/>
    </row>
    <row r="2458" spans="1:26" ht="19">
      <c r="A2458" s="631"/>
      <c r="B2458" s="631"/>
      <c r="C2458" s="631"/>
      <c r="D2458" s="832"/>
      <c r="E2458" s="631"/>
      <c r="F2458" s="631"/>
      <c r="G2458" s="631"/>
      <c r="H2458" s="833"/>
      <c r="I2458" s="834"/>
      <c r="J2458" s="834"/>
      <c r="K2458" s="835"/>
      <c r="L2458" s="835"/>
      <c r="M2458" s="835"/>
      <c r="N2458" s="835"/>
      <c r="O2458" s="835"/>
      <c r="P2458" s="835"/>
      <c r="Q2458" s="540"/>
      <c r="R2458" s="540"/>
      <c r="S2458" s="540"/>
      <c r="T2458" s="540"/>
      <c r="U2458" s="540"/>
      <c r="V2458" s="540"/>
      <c r="W2458" s="540"/>
      <c r="X2458" s="540"/>
      <c r="Y2458" s="540"/>
      <c r="Z2458" s="540"/>
    </row>
    <row r="2459" spans="1:26" ht="19">
      <c r="A2459" s="631"/>
      <c r="B2459" s="631"/>
      <c r="C2459" s="631"/>
      <c r="D2459" s="832"/>
      <c r="E2459" s="631"/>
      <c r="F2459" s="631"/>
      <c r="G2459" s="631"/>
      <c r="H2459" s="833"/>
      <c r="I2459" s="834"/>
      <c r="J2459" s="834"/>
      <c r="K2459" s="835"/>
      <c r="L2459" s="835"/>
      <c r="M2459" s="835"/>
      <c r="N2459" s="835"/>
      <c r="O2459" s="835"/>
      <c r="P2459" s="835"/>
      <c r="Q2459" s="540"/>
      <c r="R2459" s="540"/>
      <c r="S2459" s="540"/>
      <c r="T2459" s="540"/>
      <c r="U2459" s="540"/>
      <c r="V2459" s="540"/>
      <c r="W2459" s="540"/>
      <c r="X2459" s="540"/>
      <c r="Y2459" s="540"/>
      <c r="Z2459" s="540"/>
    </row>
    <row r="2460" spans="1:26" ht="19">
      <c r="A2460" s="631"/>
      <c r="B2460" s="631"/>
      <c r="C2460" s="631"/>
      <c r="D2460" s="832"/>
      <c r="E2460" s="631"/>
      <c r="F2460" s="631"/>
      <c r="G2460" s="631"/>
      <c r="H2460" s="833"/>
      <c r="I2460" s="834"/>
      <c r="J2460" s="834"/>
      <c r="K2460" s="835"/>
      <c r="L2460" s="835"/>
      <c r="M2460" s="835"/>
      <c r="N2460" s="835"/>
      <c r="O2460" s="835"/>
      <c r="P2460" s="835"/>
      <c r="Q2460" s="540"/>
      <c r="R2460" s="540"/>
      <c r="S2460" s="540"/>
      <c r="T2460" s="540"/>
      <c r="U2460" s="540"/>
      <c r="V2460" s="540"/>
      <c r="W2460" s="540"/>
      <c r="X2460" s="540"/>
      <c r="Y2460" s="540"/>
      <c r="Z2460" s="540"/>
    </row>
    <row r="2461" spans="1:26" ht="19">
      <c r="A2461" s="631"/>
      <c r="B2461" s="631"/>
      <c r="C2461" s="631"/>
      <c r="D2461" s="832"/>
      <c r="E2461" s="631"/>
      <c r="F2461" s="631"/>
      <c r="G2461" s="631"/>
      <c r="H2461" s="833"/>
      <c r="I2461" s="834"/>
      <c r="J2461" s="834"/>
      <c r="K2461" s="835"/>
      <c r="L2461" s="835"/>
      <c r="M2461" s="835"/>
      <c r="N2461" s="835"/>
      <c r="O2461" s="835"/>
      <c r="P2461" s="835"/>
      <c r="Q2461" s="540"/>
      <c r="R2461" s="540"/>
      <c r="S2461" s="540"/>
      <c r="T2461" s="540"/>
      <c r="U2461" s="540"/>
      <c r="V2461" s="540"/>
      <c r="W2461" s="540"/>
      <c r="X2461" s="540"/>
      <c r="Y2461" s="540"/>
      <c r="Z2461" s="540"/>
    </row>
    <row r="2462" spans="1:26" ht="19">
      <c r="A2462" s="631"/>
      <c r="B2462" s="631"/>
      <c r="C2462" s="631"/>
      <c r="D2462" s="832"/>
      <c r="E2462" s="631"/>
      <c r="F2462" s="631"/>
      <c r="G2462" s="631"/>
      <c r="H2462" s="833"/>
      <c r="I2462" s="834"/>
      <c r="J2462" s="834"/>
      <c r="K2462" s="835"/>
      <c r="L2462" s="835"/>
      <c r="M2462" s="835"/>
      <c r="N2462" s="835"/>
      <c r="O2462" s="835"/>
      <c r="P2462" s="835"/>
      <c r="Q2462" s="540"/>
      <c r="R2462" s="540"/>
      <c r="S2462" s="540"/>
      <c r="T2462" s="540"/>
      <c r="U2462" s="540"/>
      <c r="V2462" s="540"/>
      <c r="W2462" s="540"/>
      <c r="X2462" s="540"/>
      <c r="Y2462" s="540"/>
      <c r="Z2462" s="540"/>
    </row>
    <row r="2463" spans="1:26" ht="19">
      <c r="A2463" s="631"/>
      <c r="B2463" s="631"/>
      <c r="C2463" s="631"/>
      <c r="D2463" s="832"/>
      <c r="E2463" s="631"/>
      <c r="F2463" s="631"/>
      <c r="G2463" s="631"/>
      <c r="H2463" s="833"/>
      <c r="I2463" s="834"/>
      <c r="J2463" s="834"/>
      <c r="K2463" s="835"/>
      <c r="L2463" s="835"/>
      <c r="M2463" s="835"/>
      <c r="N2463" s="835"/>
      <c r="O2463" s="835"/>
      <c r="P2463" s="835"/>
      <c r="Q2463" s="540"/>
      <c r="R2463" s="540"/>
      <c r="S2463" s="540"/>
      <c r="T2463" s="540"/>
      <c r="U2463" s="540"/>
      <c r="V2463" s="540"/>
      <c r="W2463" s="540"/>
      <c r="X2463" s="540"/>
      <c r="Y2463" s="540"/>
      <c r="Z2463" s="540"/>
    </row>
    <row r="2464" spans="1:26" ht="19">
      <c r="A2464" s="631"/>
      <c r="B2464" s="631"/>
      <c r="C2464" s="631"/>
      <c r="D2464" s="832"/>
      <c r="E2464" s="631"/>
      <c r="F2464" s="631"/>
      <c r="G2464" s="631"/>
      <c r="H2464" s="833"/>
      <c r="I2464" s="834"/>
      <c r="J2464" s="834"/>
      <c r="K2464" s="835"/>
      <c r="L2464" s="835"/>
      <c r="M2464" s="835"/>
      <c r="N2464" s="835"/>
      <c r="O2464" s="835"/>
      <c r="P2464" s="835"/>
      <c r="Q2464" s="540"/>
      <c r="R2464" s="540"/>
      <c r="S2464" s="540"/>
      <c r="T2464" s="540"/>
      <c r="U2464" s="540"/>
      <c r="V2464" s="540"/>
      <c r="W2464" s="540"/>
      <c r="X2464" s="540"/>
      <c r="Y2464" s="540"/>
      <c r="Z2464" s="540"/>
    </row>
    <row r="2465" spans="1:26" ht="19">
      <c r="A2465" s="631"/>
      <c r="B2465" s="631"/>
      <c r="C2465" s="631"/>
      <c r="D2465" s="832"/>
      <c r="E2465" s="631"/>
      <c r="F2465" s="631"/>
      <c r="G2465" s="631"/>
      <c r="H2465" s="833"/>
      <c r="I2465" s="834"/>
      <c r="J2465" s="834"/>
      <c r="K2465" s="835"/>
      <c r="L2465" s="835"/>
      <c r="M2465" s="835"/>
      <c r="N2465" s="835"/>
      <c r="O2465" s="835"/>
      <c r="P2465" s="835"/>
      <c r="Q2465" s="540"/>
      <c r="R2465" s="540"/>
      <c r="S2465" s="540"/>
      <c r="T2465" s="540"/>
      <c r="U2465" s="540"/>
      <c r="V2465" s="540"/>
      <c r="W2465" s="540"/>
      <c r="X2465" s="540"/>
      <c r="Y2465" s="540"/>
      <c r="Z2465" s="540"/>
    </row>
    <row r="2466" spans="1:26" ht="19">
      <c r="A2466" s="631"/>
      <c r="B2466" s="631"/>
      <c r="C2466" s="631"/>
      <c r="D2466" s="832"/>
      <c r="E2466" s="631"/>
      <c r="F2466" s="631"/>
      <c r="G2466" s="631"/>
      <c r="H2466" s="833"/>
      <c r="I2466" s="834"/>
      <c r="J2466" s="834"/>
      <c r="K2466" s="835"/>
      <c r="L2466" s="835"/>
      <c r="M2466" s="835"/>
      <c r="N2466" s="835"/>
      <c r="O2466" s="835"/>
      <c r="P2466" s="835"/>
      <c r="Q2466" s="540"/>
      <c r="R2466" s="540"/>
      <c r="S2466" s="540"/>
      <c r="T2466" s="540"/>
      <c r="U2466" s="540"/>
      <c r="V2466" s="540"/>
      <c r="W2466" s="540"/>
      <c r="X2466" s="540"/>
      <c r="Y2466" s="540"/>
      <c r="Z2466" s="540"/>
    </row>
    <row r="2467" spans="1:26" ht="19">
      <c r="A2467" s="631"/>
      <c r="B2467" s="631"/>
      <c r="C2467" s="631"/>
      <c r="D2467" s="832"/>
      <c r="E2467" s="631"/>
      <c r="F2467" s="631"/>
      <c r="G2467" s="631"/>
      <c r="H2467" s="833"/>
      <c r="I2467" s="834"/>
      <c r="J2467" s="834"/>
      <c r="K2467" s="835"/>
      <c r="L2467" s="835"/>
      <c r="M2467" s="835"/>
      <c r="N2467" s="835"/>
      <c r="O2467" s="835"/>
      <c r="P2467" s="835"/>
      <c r="Q2467" s="540"/>
      <c r="R2467" s="540"/>
      <c r="S2467" s="540"/>
      <c r="T2467" s="540"/>
      <c r="U2467" s="540"/>
      <c r="V2467" s="540"/>
      <c r="W2467" s="540"/>
      <c r="X2467" s="540"/>
      <c r="Y2467" s="540"/>
      <c r="Z2467" s="540"/>
    </row>
    <row r="2468" spans="1:26" ht="19">
      <c r="A2468" s="631"/>
      <c r="B2468" s="631"/>
      <c r="C2468" s="631"/>
      <c r="D2468" s="832"/>
      <c r="E2468" s="631"/>
      <c r="F2468" s="631"/>
      <c r="G2468" s="631"/>
      <c r="H2468" s="833"/>
      <c r="I2468" s="834"/>
      <c r="J2468" s="834"/>
      <c r="K2468" s="835"/>
      <c r="L2468" s="835"/>
      <c r="M2468" s="835"/>
      <c r="N2468" s="835"/>
      <c r="O2468" s="835"/>
      <c r="P2468" s="835"/>
      <c r="Q2468" s="540"/>
      <c r="R2468" s="540"/>
      <c r="S2468" s="540"/>
      <c r="T2468" s="540"/>
      <c r="U2468" s="540"/>
      <c r="V2468" s="540"/>
      <c r="W2468" s="540"/>
      <c r="X2468" s="540"/>
      <c r="Y2468" s="540"/>
      <c r="Z2468" s="540"/>
    </row>
    <row r="2469" spans="1:26" ht="19">
      <c r="A2469" s="631"/>
      <c r="B2469" s="631"/>
      <c r="C2469" s="631"/>
      <c r="D2469" s="832"/>
      <c r="E2469" s="631"/>
      <c r="F2469" s="631"/>
      <c r="G2469" s="631"/>
      <c r="H2469" s="833"/>
      <c r="I2469" s="834"/>
      <c r="J2469" s="834"/>
      <c r="K2469" s="835"/>
      <c r="L2469" s="835"/>
      <c r="M2469" s="835"/>
      <c r="N2469" s="835"/>
      <c r="O2469" s="835"/>
      <c r="P2469" s="835"/>
      <c r="Q2469" s="540"/>
      <c r="R2469" s="540"/>
      <c r="S2469" s="540"/>
      <c r="T2469" s="540"/>
      <c r="U2469" s="540"/>
      <c r="V2469" s="540"/>
      <c r="W2469" s="540"/>
      <c r="X2469" s="540"/>
      <c r="Y2469" s="540"/>
      <c r="Z2469" s="540"/>
    </row>
    <row r="2470" spans="1:26" ht="19">
      <c r="A2470" s="631"/>
      <c r="B2470" s="631"/>
      <c r="C2470" s="631"/>
      <c r="D2470" s="832"/>
      <c r="E2470" s="631"/>
      <c r="F2470" s="631"/>
      <c r="G2470" s="631"/>
      <c r="H2470" s="833"/>
      <c r="I2470" s="834"/>
      <c r="J2470" s="834"/>
      <c r="K2470" s="835"/>
      <c r="L2470" s="835"/>
      <c r="M2470" s="835"/>
      <c r="N2470" s="835"/>
      <c r="O2470" s="835"/>
      <c r="P2470" s="835"/>
      <c r="Q2470" s="540"/>
      <c r="R2470" s="540"/>
      <c r="S2470" s="540"/>
      <c r="T2470" s="540"/>
      <c r="U2470" s="540"/>
      <c r="V2470" s="540"/>
      <c r="W2470" s="540"/>
      <c r="X2470" s="540"/>
      <c r="Y2470" s="540"/>
      <c r="Z2470" s="540"/>
    </row>
    <row r="2471" spans="1:26" ht="19">
      <c r="A2471" s="631"/>
      <c r="B2471" s="631"/>
      <c r="C2471" s="631"/>
      <c r="D2471" s="832"/>
      <c r="E2471" s="631"/>
      <c r="F2471" s="631"/>
      <c r="G2471" s="631"/>
      <c r="H2471" s="833"/>
      <c r="I2471" s="834"/>
      <c r="J2471" s="834"/>
      <c r="K2471" s="835"/>
      <c r="L2471" s="835"/>
      <c r="M2471" s="835"/>
      <c r="N2471" s="835"/>
      <c r="O2471" s="835"/>
      <c r="P2471" s="835"/>
      <c r="Q2471" s="540"/>
      <c r="R2471" s="540"/>
      <c r="S2471" s="540"/>
      <c r="T2471" s="540"/>
      <c r="U2471" s="540"/>
      <c r="V2471" s="540"/>
      <c r="W2471" s="540"/>
      <c r="X2471" s="540"/>
      <c r="Y2471" s="540"/>
      <c r="Z2471" s="540"/>
    </row>
    <row r="2472" spans="1:26" ht="19">
      <c r="A2472" s="631"/>
      <c r="B2472" s="631"/>
      <c r="C2472" s="631"/>
      <c r="D2472" s="832"/>
      <c r="E2472" s="631"/>
      <c r="F2472" s="631"/>
      <c r="G2472" s="631"/>
      <c r="H2472" s="833"/>
      <c r="I2472" s="834"/>
      <c r="J2472" s="834"/>
      <c r="K2472" s="835"/>
      <c r="L2472" s="835"/>
      <c r="M2472" s="835"/>
      <c r="N2472" s="835"/>
      <c r="O2472" s="835"/>
      <c r="P2472" s="835"/>
      <c r="Q2472" s="540"/>
      <c r="R2472" s="540"/>
      <c r="S2472" s="540"/>
      <c r="T2472" s="540"/>
      <c r="U2472" s="540"/>
      <c r="V2472" s="540"/>
      <c r="W2472" s="540"/>
      <c r="X2472" s="540"/>
      <c r="Y2472" s="540"/>
      <c r="Z2472" s="540"/>
    </row>
    <row r="2473" spans="1:26" ht="19">
      <c r="A2473" s="631"/>
      <c r="B2473" s="631"/>
      <c r="C2473" s="631"/>
      <c r="D2473" s="832"/>
      <c r="E2473" s="631"/>
      <c r="F2473" s="631"/>
      <c r="G2473" s="631"/>
      <c r="H2473" s="833"/>
      <c r="I2473" s="834"/>
      <c r="J2473" s="834"/>
      <c r="K2473" s="835"/>
      <c r="L2473" s="835"/>
      <c r="M2473" s="835"/>
      <c r="N2473" s="835"/>
      <c r="O2473" s="835"/>
      <c r="P2473" s="835"/>
      <c r="Q2473" s="540"/>
      <c r="R2473" s="540"/>
      <c r="S2473" s="540"/>
      <c r="T2473" s="540"/>
      <c r="U2473" s="540"/>
      <c r="V2473" s="540"/>
      <c r="W2473" s="540"/>
      <c r="X2473" s="540"/>
      <c r="Y2473" s="540"/>
      <c r="Z2473" s="540"/>
    </row>
    <row r="2474" spans="1:26" ht="19">
      <c r="A2474" s="631"/>
      <c r="B2474" s="631"/>
      <c r="C2474" s="631"/>
      <c r="D2474" s="832"/>
      <c r="E2474" s="631"/>
      <c r="F2474" s="631"/>
      <c r="G2474" s="631"/>
      <c r="H2474" s="833"/>
      <c r="I2474" s="834"/>
      <c r="J2474" s="834"/>
      <c r="K2474" s="835"/>
      <c r="L2474" s="835"/>
      <c r="M2474" s="835"/>
      <c r="N2474" s="835"/>
      <c r="O2474" s="835"/>
      <c r="P2474" s="835"/>
      <c r="Q2474" s="540"/>
      <c r="R2474" s="540"/>
      <c r="S2474" s="540"/>
      <c r="T2474" s="540"/>
      <c r="U2474" s="540"/>
      <c r="V2474" s="540"/>
      <c r="W2474" s="540"/>
      <c r="X2474" s="540"/>
      <c r="Y2474" s="540"/>
      <c r="Z2474" s="540"/>
    </row>
    <row r="2475" spans="1:26" ht="19">
      <c r="A2475" s="631"/>
      <c r="B2475" s="631"/>
      <c r="C2475" s="631"/>
      <c r="D2475" s="832"/>
      <c r="E2475" s="631"/>
      <c r="F2475" s="631"/>
      <c r="G2475" s="631"/>
      <c r="H2475" s="833"/>
      <c r="I2475" s="834"/>
      <c r="J2475" s="834"/>
      <c r="K2475" s="835"/>
      <c r="L2475" s="835"/>
      <c r="M2475" s="835"/>
      <c r="N2475" s="835"/>
      <c r="O2475" s="835"/>
      <c r="P2475" s="835"/>
      <c r="Q2475" s="540"/>
      <c r="R2475" s="540"/>
      <c r="S2475" s="540"/>
      <c r="T2475" s="540"/>
      <c r="U2475" s="540"/>
      <c r="V2475" s="540"/>
      <c r="W2475" s="540"/>
      <c r="X2475" s="540"/>
      <c r="Y2475" s="540"/>
      <c r="Z2475" s="540"/>
    </row>
    <row r="2476" spans="1:26" ht="19">
      <c r="A2476" s="631"/>
      <c r="B2476" s="631"/>
      <c r="C2476" s="631"/>
      <c r="D2476" s="832"/>
      <c r="E2476" s="631"/>
      <c r="F2476" s="631"/>
      <c r="G2476" s="631"/>
      <c r="H2476" s="833"/>
      <c r="I2476" s="834"/>
      <c r="J2476" s="834"/>
      <c r="K2476" s="835"/>
      <c r="L2476" s="835"/>
      <c r="M2476" s="835"/>
      <c r="N2476" s="835"/>
      <c r="O2476" s="835"/>
      <c r="P2476" s="835"/>
      <c r="Q2476" s="540"/>
      <c r="R2476" s="540"/>
      <c r="S2476" s="540"/>
      <c r="T2476" s="540"/>
      <c r="U2476" s="540"/>
      <c r="V2476" s="540"/>
      <c r="W2476" s="540"/>
      <c r="X2476" s="540"/>
      <c r="Y2476" s="540"/>
      <c r="Z2476" s="540"/>
    </row>
    <row r="2477" spans="1:26" ht="19">
      <c r="A2477" s="631"/>
      <c r="B2477" s="631"/>
      <c r="C2477" s="631"/>
      <c r="D2477" s="832"/>
      <c r="E2477" s="631"/>
      <c r="F2477" s="631"/>
      <c r="G2477" s="631"/>
      <c r="H2477" s="833"/>
      <c r="I2477" s="834"/>
      <c r="J2477" s="834"/>
      <c r="K2477" s="835"/>
      <c r="L2477" s="835"/>
      <c r="M2477" s="835"/>
      <c r="N2477" s="835"/>
      <c r="O2477" s="835"/>
      <c r="P2477" s="835"/>
      <c r="Q2477" s="540"/>
      <c r="R2477" s="540"/>
      <c r="S2477" s="540"/>
      <c r="T2477" s="540"/>
      <c r="U2477" s="540"/>
      <c r="V2477" s="540"/>
      <c r="W2477" s="540"/>
      <c r="X2477" s="540"/>
      <c r="Y2477" s="540"/>
      <c r="Z2477" s="540"/>
    </row>
    <row r="2478" spans="1:26" ht="19">
      <c r="A2478" s="631"/>
      <c r="B2478" s="631"/>
      <c r="C2478" s="631"/>
      <c r="D2478" s="832"/>
      <c r="E2478" s="631"/>
      <c r="F2478" s="631"/>
      <c r="G2478" s="631"/>
      <c r="H2478" s="833"/>
      <c r="I2478" s="834"/>
      <c r="J2478" s="834"/>
      <c r="K2478" s="835"/>
      <c r="L2478" s="835"/>
      <c r="M2478" s="835"/>
      <c r="N2478" s="835"/>
      <c r="O2478" s="835"/>
      <c r="P2478" s="835"/>
      <c r="Q2478" s="540"/>
      <c r="R2478" s="540"/>
      <c r="S2478" s="540"/>
      <c r="T2478" s="540"/>
      <c r="U2478" s="540"/>
      <c r="V2478" s="540"/>
      <c r="W2478" s="540"/>
      <c r="X2478" s="540"/>
      <c r="Y2478" s="540"/>
      <c r="Z2478" s="540"/>
    </row>
    <row r="2479" spans="1:26" ht="19">
      <c r="A2479" s="631"/>
      <c r="B2479" s="631"/>
      <c r="C2479" s="631"/>
      <c r="D2479" s="832"/>
      <c r="E2479" s="631"/>
      <c r="F2479" s="631"/>
      <c r="G2479" s="631"/>
      <c r="H2479" s="833"/>
      <c r="I2479" s="834"/>
      <c r="J2479" s="834"/>
      <c r="K2479" s="835"/>
      <c r="L2479" s="835"/>
      <c r="M2479" s="835"/>
      <c r="N2479" s="835"/>
      <c r="O2479" s="835"/>
      <c r="P2479" s="835"/>
      <c r="Q2479" s="540"/>
      <c r="R2479" s="540"/>
      <c r="S2479" s="540"/>
      <c r="T2479" s="540"/>
      <c r="U2479" s="540"/>
      <c r="V2479" s="540"/>
      <c r="W2479" s="540"/>
      <c r="X2479" s="540"/>
      <c r="Y2479" s="540"/>
      <c r="Z2479" s="540"/>
    </row>
    <row r="2480" spans="1:26" ht="19">
      <c r="A2480" s="631"/>
      <c r="B2480" s="631"/>
      <c r="C2480" s="631"/>
      <c r="D2480" s="832"/>
      <c r="E2480" s="631"/>
      <c r="F2480" s="631"/>
      <c r="G2480" s="631"/>
      <c r="H2480" s="833"/>
      <c r="I2480" s="834"/>
      <c r="J2480" s="834"/>
      <c r="K2480" s="835"/>
      <c r="L2480" s="835"/>
      <c r="M2480" s="835"/>
      <c r="N2480" s="835"/>
      <c r="O2480" s="835"/>
      <c r="P2480" s="835"/>
      <c r="Q2480" s="540"/>
      <c r="R2480" s="540"/>
      <c r="S2480" s="540"/>
      <c r="T2480" s="540"/>
      <c r="U2480" s="540"/>
      <c r="V2480" s="540"/>
      <c r="W2480" s="540"/>
      <c r="X2480" s="540"/>
      <c r="Y2480" s="540"/>
      <c r="Z2480" s="540"/>
    </row>
    <row r="2481" spans="1:26" ht="19">
      <c r="A2481" s="631"/>
      <c r="B2481" s="631"/>
      <c r="C2481" s="631"/>
      <c r="D2481" s="832"/>
      <c r="E2481" s="631"/>
      <c r="F2481" s="631"/>
      <c r="G2481" s="631"/>
      <c r="H2481" s="833"/>
      <c r="I2481" s="834"/>
      <c r="J2481" s="834"/>
      <c r="K2481" s="835"/>
      <c r="L2481" s="835"/>
      <c r="M2481" s="835"/>
      <c r="N2481" s="835"/>
      <c r="O2481" s="835"/>
      <c r="P2481" s="835"/>
      <c r="Q2481" s="540"/>
      <c r="R2481" s="540"/>
      <c r="S2481" s="540"/>
      <c r="T2481" s="540"/>
      <c r="U2481" s="540"/>
      <c r="V2481" s="540"/>
      <c r="W2481" s="540"/>
      <c r="X2481" s="540"/>
      <c r="Y2481" s="540"/>
      <c r="Z2481" s="540"/>
    </row>
    <row r="2482" spans="1:26" ht="19">
      <c r="A2482" s="631"/>
      <c r="B2482" s="631"/>
      <c r="C2482" s="631"/>
      <c r="D2482" s="832"/>
      <c r="E2482" s="631"/>
      <c r="F2482" s="631"/>
      <c r="G2482" s="631"/>
      <c r="H2482" s="833"/>
      <c r="I2482" s="834"/>
      <c r="J2482" s="834"/>
      <c r="K2482" s="835"/>
      <c r="L2482" s="835"/>
      <c r="M2482" s="835"/>
      <c r="N2482" s="835"/>
      <c r="O2482" s="835"/>
      <c r="P2482" s="835"/>
      <c r="Q2482" s="540"/>
      <c r="R2482" s="540"/>
      <c r="S2482" s="540"/>
      <c r="T2482" s="540"/>
      <c r="U2482" s="540"/>
      <c r="V2482" s="540"/>
      <c r="W2482" s="540"/>
      <c r="X2482" s="540"/>
      <c r="Y2482" s="540"/>
      <c r="Z2482" s="540"/>
    </row>
    <row r="2483" spans="1:26" ht="19">
      <c r="A2483" s="631"/>
      <c r="B2483" s="631"/>
      <c r="C2483" s="631"/>
      <c r="D2483" s="832"/>
      <c r="E2483" s="631"/>
      <c r="F2483" s="631"/>
      <c r="G2483" s="631"/>
      <c r="H2483" s="833"/>
      <c r="I2483" s="834"/>
      <c r="J2483" s="834"/>
      <c r="K2483" s="835"/>
      <c r="L2483" s="835"/>
      <c r="M2483" s="835"/>
      <c r="N2483" s="835"/>
      <c r="O2483" s="835"/>
      <c r="P2483" s="835"/>
      <c r="Q2483" s="540"/>
      <c r="R2483" s="540"/>
      <c r="S2483" s="540"/>
      <c r="T2483" s="540"/>
      <c r="U2483" s="540"/>
      <c r="V2483" s="540"/>
      <c r="W2483" s="540"/>
      <c r="X2483" s="540"/>
      <c r="Y2483" s="540"/>
      <c r="Z2483" s="540"/>
    </row>
    <row r="2484" spans="1:26" ht="19">
      <c r="A2484" s="631"/>
      <c r="B2484" s="631"/>
      <c r="C2484" s="631"/>
      <c r="D2484" s="832"/>
      <c r="E2484" s="631"/>
      <c r="F2484" s="631"/>
      <c r="G2484" s="631"/>
      <c r="H2484" s="833"/>
      <c r="I2484" s="834"/>
      <c r="J2484" s="834"/>
      <c r="K2484" s="835"/>
      <c r="L2484" s="835"/>
      <c r="M2484" s="835"/>
      <c r="N2484" s="835"/>
      <c r="O2484" s="835"/>
      <c r="P2484" s="835"/>
      <c r="Q2484" s="540"/>
      <c r="R2484" s="540"/>
      <c r="S2484" s="540"/>
      <c r="T2484" s="540"/>
      <c r="U2484" s="540"/>
      <c r="V2484" s="540"/>
      <c r="W2484" s="540"/>
      <c r="X2484" s="540"/>
      <c r="Y2484" s="540"/>
      <c r="Z2484" s="540"/>
    </row>
    <row r="2485" spans="1:26" ht="19">
      <c r="A2485" s="631"/>
      <c r="B2485" s="631"/>
      <c r="C2485" s="631"/>
      <c r="D2485" s="832"/>
      <c r="E2485" s="631"/>
      <c r="F2485" s="631"/>
      <c r="G2485" s="631"/>
      <c r="H2485" s="833"/>
      <c r="I2485" s="834"/>
      <c r="J2485" s="834"/>
      <c r="K2485" s="835"/>
      <c r="L2485" s="835"/>
      <c r="M2485" s="835"/>
      <c r="N2485" s="835"/>
      <c r="O2485" s="835"/>
      <c r="P2485" s="835"/>
      <c r="Q2485" s="540"/>
      <c r="R2485" s="540"/>
      <c r="S2485" s="540"/>
      <c r="T2485" s="540"/>
      <c r="U2485" s="540"/>
      <c r="V2485" s="540"/>
      <c r="W2485" s="540"/>
      <c r="X2485" s="540"/>
      <c r="Y2485" s="540"/>
      <c r="Z2485" s="540"/>
    </row>
    <row r="2486" spans="1:26" ht="19">
      <c r="A2486" s="631"/>
      <c r="B2486" s="631"/>
      <c r="C2486" s="631"/>
      <c r="D2486" s="832"/>
      <c r="E2486" s="631"/>
      <c r="F2486" s="631"/>
      <c r="G2486" s="631"/>
      <c r="H2486" s="833"/>
      <c r="I2486" s="834"/>
      <c r="J2486" s="834"/>
      <c r="K2486" s="835"/>
      <c r="L2486" s="835"/>
      <c r="M2486" s="835"/>
      <c r="N2486" s="835"/>
      <c r="O2486" s="835"/>
      <c r="P2486" s="835"/>
      <c r="Q2486" s="540"/>
      <c r="R2486" s="540"/>
      <c r="S2486" s="540"/>
      <c r="T2486" s="540"/>
      <c r="U2486" s="540"/>
      <c r="V2486" s="540"/>
      <c r="W2486" s="540"/>
      <c r="X2486" s="540"/>
      <c r="Y2486" s="540"/>
      <c r="Z2486" s="540"/>
    </row>
    <row r="2487" spans="1:26" ht="19">
      <c r="A2487" s="631"/>
      <c r="B2487" s="631"/>
      <c r="C2487" s="631"/>
      <c r="D2487" s="832"/>
      <c r="E2487" s="631"/>
      <c r="F2487" s="631"/>
      <c r="G2487" s="631"/>
      <c r="H2487" s="833"/>
      <c r="I2487" s="834"/>
      <c r="J2487" s="834"/>
      <c r="K2487" s="835"/>
      <c r="L2487" s="835"/>
      <c r="M2487" s="835"/>
      <c r="N2487" s="835"/>
      <c r="O2487" s="835"/>
      <c r="P2487" s="835"/>
      <c r="Q2487" s="540"/>
      <c r="R2487" s="540"/>
      <c r="S2487" s="540"/>
      <c r="T2487" s="540"/>
      <c r="U2487" s="540"/>
      <c r="V2487" s="540"/>
      <c r="W2487" s="540"/>
      <c r="X2487" s="540"/>
      <c r="Y2487" s="540"/>
      <c r="Z2487" s="540"/>
    </row>
    <row r="2488" spans="1:26" ht="19">
      <c r="A2488" s="631"/>
      <c r="B2488" s="631"/>
      <c r="C2488" s="631"/>
      <c r="D2488" s="832"/>
      <c r="E2488" s="631"/>
      <c r="F2488" s="631"/>
      <c r="G2488" s="631"/>
      <c r="H2488" s="833"/>
      <c r="I2488" s="834"/>
      <c r="J2488" s="834"/>
      <c r="K2488" s="835"/>
      <c r="L2488" s="835"/>
      <c r="M2488" s="835"/>
      <c r="N2488" s="835"/>
      <c r="O2488" s="835"/>
      <c r="P2488" s="835"/>
      <c r="Q2488" s="540"/>
      <c r="R2488" s="540"/>
      <c r="S2488" s="540"/>
      <c r="T2488" s="540"/>
      <c r="U2488" s="540"/>
      <c r="V2488" s="540"/>
      <c r="W2488" s="540"/>
      <c r="X2488" s="540"/>
      <c r="Y2488" s="540"/>
      <c r="Z2488" s="540"/>
    </row>
    <row r="2489" spans="1:26" ht="19">
      <c r="A2489" s="631"/>
      <c r="B2489" s="631"/>
      <c r="C2489" s="631"/>
      <c r="D2489" s="832"/>
      <c r="E2489" s="631"/>
      <c r="F2489" s="631"/>
      <c r="G2489" s="631"/>
      <c r="H2489" s="833"/>
      <c r="I2489" s="834"/>
      <c r="J2489" s="834"/>
      <c r="K2489" s="835"/>
      <c r="L2489" s="835"/>
      <c r="M2489" s="835"/>
      <c r="N2489" s="835"/>
      <c r="O2489" s="835"/>
      <c r="P2489" s="835"/>
      <c r="Q2489" s="540"/>
      <c r="R2489" s="540"/>
      <c r="S2489" s="540"/>
      <c r="T2489" s="540"/>
      <c r="U2489" s="540"/>
      <c r="V2489" s="540"/>
      <c r="W2489" s="540"/>
      <c r="X2489" s="540"/>
      <c r="Y2489" s="540"/>
      <c r="Z2489" s="540"/>
    </row>
    <row r="2490" spans="1:26" ht="19">
      <c r="A2490" s="631"/>
      <c r="B2490" s="631"/>
      <c r="C2490" s="631"/>
      <c r="D2490" s="832"/>
      <c r="E2490" s="631"/>
      <c r="F2490" s="631"/>
      <c r="G2490" s="631"/>
      <c r="H2490" s="833"/>
      <c r="I2490" s="834"/>
      <c r="J2490" s="834"/>
      <c r="K2490" s="835"/>
      <c r="L2490" s="835"/>
      <c r="M2490" s="835"/>
      <c r="N2490" s="835"/>
      <c r="O2490" s="835"/>
      <c r="P2490" s="835"/>
      <c r="Q2490" s="540"/>
      <c r="R2490" s="540"/>
      <c r="S2490" s="540"/>
      <c r="T2490" s="540"/>
      <c r="U2490" s="540"/>
      <c r="V2490" s="540"/>
      <c r="W2490" s="540"/>
      <c r="X2490" s="540"/>
      <c r="Y2490" s="540"/>
      <c r="Z2490" s="540"/>
    </row>
    <row r="2491" spans="1:26" ht="19">
      <c r="A2491" s="631"/>
      <c r="B2491" s="631"/>
      <c r="C2491" s="631"/>
      <c r="D2491" s="832"/>
      <c r="E2491" s="631"/>
      <c r="F2491" s="631"/>
      <c r="G2491" s="631"/>
      <c r="H2491" s="833"/>
      <c r="I2491" s="834"/>
      <c r="J2491" s="834"/>
      <c r="K2491" s="835"/>
      <c r="L2491" s="835"/>
      <c r="M2491" s="835"/>
      <c r="N2491" s="835"/>
      <c r="O2491" s="835"/>
      <c r="P2491" s="835"/>
      <c r="Q2491" s="540"/>
      <c r="R2491" s="540"/>
      <c r="S2491" s="540"/>
      <c r="T2491" s="540"/>
      <c r="U2491" s="540"/>
      <c r="V2491" s="540"/>
      <c r="W2491" s="540"/>
      <c r="X2491" s="540"/>
      <c r="Y2491" s="540"/>
      <c r="Z2491" s="540"/>
    </row>
    <row r="2492" spans="1:26" ht="19">
      <c r="A2492" s="631"/>
      <c r="B2492" s="631"/>
      <c r="C2492" s="631"/>
      <c r="D2492" s="832"/>
      <c r="E2492" s="631"/>
      <c r="F2492" s="631"/>
      <c r="G2492" s="631"/>
      <c r="H2492" s="833"/>
      <c r="I2492" s="834"/>
      <c r="J2492" s="834"/>
      <c r="K2492" s="835"/>
      <c r="L2492" s="835"/>
      <c r="M2492" s="835"/>
      <c r="N2492" s="835"/>
      <c r="O2492" s="835"/>
      <c r="P2492" s="835"/>
      <c r="Q2492" s="540"/>
      <c r="R2492" s="540"/>
      <c r="S2492" s="540"/>
      <c r="T2492" s="540"/>
      <c r="U2492" s="540"/>
      <c r="V2492" s="540"/>
      <c r="W2492" s="540"/>
      <c r="X2492" s="540"/>
      <c r="Y2492" s="540"/>
      <c r="Z2492" s="540"/>
    </row>
    <row r="2493" spans="1:26" ht="19">
      <c r="A2493" s="631"/>
      <c r="B2493" s="631"/>
      <c r="C2493" s="631"/>
      <c r="D2493" s="832"/>
      <c r="E2493" s="631"/>
      <c r="F2493" s="631"/>
      <c r="G2493" s="631"/>
      <c r="H2493" s="833"/>
      <c r="I2493" s="834"/>
      <c r="J2493" s="834"/>
      <c r="K2493" s="835"/>
      <c r="L2493" s="835"/>
      <c r="M2493" s="835"/>
      <c r="N2493" s="835"/>
      <c r="O2493" s="835"/>
      <c r="P2493" s="835"/>
      <c r="Q2493" s="540"/>
      <c r="R2493" s="540"/>
      <c r="S2493" s="540"/>
      <c r="T2493" s="540"/>
      <c r="U2493" s="540"/>
      <c r="V2493" s="540"/>
      <c r="W2493" s="540"/>
      <c r="X2493" s="540"/>
      <c r="Y2493" s="540"/>
      <c r="Z2493" s="540"/>
    </row>
    <row r="2494" spans="1:26" ht="19">
      <c r="A2494" s="631"/>
      <c r="B2494" s="631"/>
      <c r="C2494" s="631"/>
      <c r="D2494" s="832"/>
      <c r="E2494" s="631"/>
      <c r="F2494" s="631"/>
      <c r="G2494" s="631"/>
      <c r="H2494" s="833"/>
      <c r="I2494" s="834"/>
      <c r="J2494" s="834"/>
      <c r="K2494" s="835"/>
      <c r="L2494" s="835"/>
      <c r="M2494" s="835"/>
      <c r="N2494" s="835"/>
      <c r="O2494" s="835"/>
      <c r="P2494" s="835"/>
      <c r="Q2494" s="540"/>
      <c r="R2494" s="540"/>
      <c r="S2494" s="540"/>
      <c r="T2494" s="540"/>
      <c r="U2494" s="540"/>
      <c r="V2494" s="540"/>
      <c r="W2494" s="540"/>
      <c r="X2494" s="540"/>
      <c r="Y2494" s="540"/>
      <c r="Z2494" s="540"/>
    </row>
    <row r="2495" spans="1:26" ht="19">
      <c r="A2495" s="631"/>
      <c r="B2495" s="631"/>
      <c r="C2495" s="631"/>
      <c r="D2495" s="832"/>
      <c r="E2495" s="631"/>
      <c r="F2495" s="631"/>
      <c r="G2495" s="631"/>
      <c r="H2495" s="833"/>
      <c r="I2495" s="834"/>
      <c r="J2495" s="834"/>
      <c r="K2495" s="835"/>
      <c r="L2495" s="835"/>
      <c r="M2495" s="835"/>
      <c r="N2495" s="835"/>
      <c r="O2495" s="835"/>
      <c r="P2495" s="835"/>
      <c r="Q2495" s="540"/>
      <c r="R2495" s="540"/>
      <c r="S2495" s="540"/>
      <c r="T2495" s="540"/>
      <c r="U2495" s="540"/>
      <c r="V2495" s="540"/>
      <c r="W2495" s="540"/>
      <c r="X2495" s="540"/>
      <c r="Y2495" s="540"/>
      <c r="Z2495" s="540"/>
    </row>
    <row r="2496" spans="1:26" ht="19">
      <c r="A2496" s="631"/>
      <c r="B2496" s="631"/>
      <c r="C2496" s="631"/>
      <c r="D2496" s="832"/>
      <c r="E2496" s="631"/>
      <c r="F2496" s="631"/>
      <c r="G2496" s="631"/>
      <c r="H2496" s="833"/>
      <c r="I2496" s="834"/>
      <c r="J2496" s="834"/>
      <c r="K2496" s="835"/>
      <c r="L2496" s="835"/>
      <c r="M2496" s="835"/>
      <c r="N2496" s="835"/>
      <c r="O2496" s="835"/>
      <c r="P2496" s="835"/>
      <c r="Q2496" s="540"/>
      <c r="R2496" s="540"/>
      <c r="S2496" s="540"/>
      <c r="T2496" s="540"/>
      <c r="U2496" s="540"/>
      <c r="V2496" s="540"/>
      <c r="W2496" s="540"/>
      <c r="X2496" s="540"/>
      <c r="Y2496" s="540"/>
      <c r="Z2496" s="540"/>
    </row>
    <row r="2497" spans="1:26" ht="19">
      <c r="A2497" s="631"/>
      <c r="B2497" s="631"/>
      <c r="C2497" s="631"/>
      <c r="D2497" s="832"/>
      <c r="E2497" s="631"/>
      <c r="F2497" s="631"/>
      <c r="G2497" s="631"/>
      <c r="H2497" s="833"/>
      <c r="I2497" s="834"/>
      <c r="J2497" s="834"/>
      <c r="K2497" s="835"/>
      <c r="L2497" s="835"/>
      <c r="M2497" s="835"/>
      <c r="N2497" s="835"/>
      <c r="O2497" s="835"/>
      <c r="P2497" s="835"/>
      <c r="Q2497" s="540"/>
      <c r="R2497" s="540"/>
      <c r="S2497" s="540"/>
      <c r="T2497" s="540"/>
      <c r="U2497" s="540"/>
      <c r="V2497" s="540"/>
      <c r="W2497" s="540"/>
      <c r="X2497" s="540"/>
      <c r="Y2497" s="540"/>
      <c r="Z2497" s="540"/>
    </row>
    <row r="2498" spans="1:26" ht="19">
      <c r="A2498" s="631"/>
      <c r="B2498" s="631"/>
      <c r="C2498" s="631"/>
      <c r="D2498" s="832"/>
      <c r="E2498" s="631"/>
      <c r="F2498" s="631"/>
      <c r="G2498" s="631"/>
      <c r="H2498" s="833"/>
      <c r="I2498" s="834"/>
      <c r="J2498" s="834"/>
      <c r="K2498" s="835"/>
      <c r="L2498" s="835"/>
      <c r="M2498" s="835"/>
      <c r="N2498" s="835"/>
      <c r="O2498" s="835"/>
      <c r="P2498" s="835"/>
      <c r="Q2498" s="540"/>
      <c r="R2498" s="540"/>
      <c r="S2498" s="540"/>
      <c r="T2498" s="540"/>
      <c r="U2498" s="540"/>
      <c r="V2498" s="540"/>
      <c r="W2498" s="540"/>
      <c r="X2498" s="540"/>
      <c r="Y2498" s="540"/>
      <c r="Z2498" s="540"/>
    </row>
    <row r="2499" spans="1:26" ht="19">
      <c r="A2499" s="631"/>
      <c r="B2499" s="631"/>
      <c r="C2499" s="631"/>
      <c r="D2499" s="832"/>
      <c r="E2499" s="631"/>
      <c r="F2499" s="631"/>
      <c r="G2499" s="631"/>
      <c r="H2499" s="833"/>
      <c r="I2499" s="834"/>
      <c r="J2499" s="834"/>
      <c r="K2499" s="835"/>
      <c r="L2499" s="835"/>
      <c r="M2499" s="835"/>
      <c r="N2499" s="835"/>
      <c r="O2499" s="835"/>
      <c r="P2499" s="835"/>
      <c r="Q2499" s="540"/>
      <c r="R2499" s="540"/>
      <c r="S2499" s="540"/>
      <c r="T2499" s="540"/>
      <c r="U2499" s="540"/>
      <c r="V2499" s="540"/>
      <c r="W2499" s="540"/>
      <c r="X2499" s="540"/>
      <c r="Y2499" s="540"/>
      <c r="Z2499" s="540"/>
    </row>
    <row r="2500" spans="1:26" ht="19">
      <c r="A2500" s="631"/>
      <c r="B2500" s="631"/>
      <c r="C2500" s="631"/>
      <c r="D2500" s="832"/>
      <c r="E2500" s="631"/>
      <c r="F2500" s="631"/>
      <c r="G2500" s="631"/>
      <c r="H2500" s="833"/>
      <c r="I2500" s="834"/>
      <c r="J2500" s="834"/>
      <c r="K2500" s="835"/>
      <c r="L2500" s="835"/>
      <c r="M2500" s="835"/>
      <c r="N2500" s="835"/>
      <c r="O2500" s="835"/>
      <c r="P2500" s="835"/>
      <c r="Q2500" s="540"/>
      <c r="R2500" s="540"/>
      <c r="S2500" s="540"/>
      <c r="T2500" s="540"/>
      <c r="U2500" s="540"/>
      <c r="V2500" s="540"/>
      <c r="W2500" s="540"/>
      <c r="X2500" s="540"/>
      <c r="Y2500" s="540"/>
      <c r="Z2500" s="540"/>
    </row>
    <row r="2501" spans="1:26" ht="19">
      <c r="A2501" s="631"/>
      <c r="B2501" s="631"/>
      <c r="C2501" s="631"/>
      <c r="D2501" s="832"/>
      <c r="E2501" s="631"/>
      <c r="F2501" s="631"/>
      <c r="G2501" s="631"/>
      <c r="H2501" s="833"/>
      <c r="I2501" s="834"/>
      <c r="J2501" s="834"/>
      <c r="K2501" s="835"/>
      <c r="L2501" s="835"/>
      <c r="M2501" s="835"/>
      <c r="N2501" s="835"/>
      <c r="O2501" s="835"/>
      <c r="P2501" s="835"/>
      <c r="Q2501" s="540"/>
      <c r="R2501" s="540"/>
      <c r="S2501" s="540"/>
      <c r="T2501" s="540"/>
      <c r="U2501" s="540"/>
      <c r="V2501" s="540"/>
      <c r="W2501" s="540"/>
      <c r="X2501" s="540"/>
      <c r="Y2501" s="540"/>
      <c r="Z2501" s="540"/>
    </row>
    <row r="2502" spans="1:26" ht="19">
      <c r="A2502" s="631"/>
      <c r="B2502" s="631"/>
      <c r="C2502" s="631"/>
      <c r="D2502" s="832"/>
      <c r="E2502" s="631"/>
      <c r="F2502" s="631"/>
      <c r="G2502" s="631"/>
      <c r="H2502" s="833"/>
      <c r="I2502" s="834"/>
      <c r="J2502" s="834"/>
      <c r="K2502" s="835"/>
      <c r="L2502" s="835"/>
      <c r="M2502" s="835"/>
      <c r="N2502" s="835"/>
      <c r="O2502" s="835"/>
      <c r="P2502" s="835"/>
      <c r="Q2502" s="540"/>
      <c r="R2502" s="540"/>
      <c r="S2502" s="540"/>
      <c r="T2502" s="540"/>
      <c r="U2502" s="540"/>
      <c r="V2502" s="540"/>
      <c r="W2502" s="540"/>
      <c r="X2502" s="540"/>
      <c r="Y2502" s="540"/>
      <c r="Z2502" s="540"/>
    </row>
    <row r="2503" spans="1:26" ht="19">
      <c r="A2503" s="631"/>
      <c r="B2503" s="631"/>
      <c r="C2503" s="631"/>
      <c r="D2503" s="832"/>
      <c r="E2503" s="631"/>
      <c r="F2503" s="631"/>
      <c r="G2503" s="631"/>
      <c r="H2503" s="833"/>
      <c r="I2503" s="834"/>
      <c r="J2503" s="834"/>
      <c r="K2503" s="835"/>
      <c r="L2503" s="835"/>
      <c r="M2503" s="835"/>
      <c r="N2503" s="835"/>
      <c r="O2503" s="835"/>
      <c r="P2503" s="835"/>
      <c r="Q2503" s="540"/>
      <c r="R2503" s="540"/>
      <c r="S2503" s="540"/>
      <c r="T2503" s="540"/>
      <c r="U2503" s="540"/>
      <c r="V2503" s="540"/>
      <c r="W2503" s="540"/>
      <c r="X2503" s="540"/>
      <c r="Y2503" s="540"/>
      <c r="Z2503" s="540"/>
    </row>
    <row r="2504" spans="1:26" ht="19">
      <c r="A2504" s="631"/>
      <c r="B2504" s="631"/>
      <c r="C2504" s="631"/>
      <c r="D2504" s="832"/>
      <c r="E2504" s="631"/>
      <c r="F2504" s="631"/>
      <c r="G2504" s="631"/>
      <c r="H2504" s="833"/>
      <c r="I2504" s="834"/>
      <c r="J2504" s="834"/>
      <c r="K2504" s="835"/>
      <c r="L2504" s="835"/>
      <c r="M2504" s="835"/>
      <c r="N2504" s="835"/>
      <c r="O2504" s="835"/>
      <c r="P2504" s="835"/>
      <c r="Q2504" s="540"/>
      <c r="R2504" s="540"/>
      <c r="S2504" s="540"/>
      <c r="T2504" s="540"/>
      <c r="U2504" s="540"/>
      <c r="V2504" s="540"/>
      <c r="W2504" s="540"/>
      <c r="X2504" s="540"/>
      <c r="Y2504" s="540"/>
      <c r="Z2504" s="540"/>
    </row>
    <row r="2505" spans="1:26" ht="19">
      <c r="A2505" s="631"/>
      <c r="B2505" s="631"/>
      <c r="C2505" s="631"/>
      <c r="D2505" s="832"/>
      <c r="E2505" s="631"/>
      <c r="F2505" s="631"/>
      <c r="G2505" s="631"/>
      <c r="H2505" s="833"/>
      <c r="I2505" s="834"/>
      <c r="J2505" s="834"/>
      <c r="K2505" s="835"/>
      <c r="L2505" s="835"/>
      <c r="M2505" s="835"/>
      <c r="N2505" s="835"/>
      <c r="O2505" s="835"/>
      <c r="P2505" s="835"/>
      <c r="Q2505" s="540"/>
      <c r="R2505" s="540"/>
      <c r="S2505" s="540"/>
      <c r="T2505" s="540"/>
      <c r="U2505" s="540"/>
      <c r="V2505" s="540"/>
      <c r="W2505" s="540"/>
      <c r="X2505" s="540"/>
      <c r="Y2505" s="540"/>
      <c r="Z2505" s="540"/>
    </row>
    <row r="2506" spans="1:26" ht="19">
      <c r="A2506" s="631"/>
      <c r="B2506" s="631"/>
      <c r="C2506" s="631"/>
      <c r="D2506" s="832"/>
      <c r="E2506" s="631"/>
      <c r="F2506" s="631"/>
      <c r="G2506" s="631"/>
      <c r="H2506" s="833"/>
      <c r="I2506" s="834"/>
      <c r="J2506" s="834"/>
      <c r="K2506" s="835"/>
      <c r="L2506" s="835"/>
      <c r="M2506" s="835"/>
      <c r="N2506" s="835"/>
      <c r="O2506" s="835"/>
      <c r="P2506" s="835"/>
      <c r="Q2506" s="540"/>
      <c r="R2506" s="540"/>
      <c r="S2506" s="540"/>
      <c r="T2506" s="540"/>
      <c r="U2506" s="540"/>
      <c r="V2506" s="540"/>
      <c r="W2506" s="540"/>
      <c r="X2506" s="540"/>
      <c r="Y2506" s="540"/>
      <c r="Z2506" s="540"/>
    </row>
    <row r="2507" spans="1:26" ht="19">
      <c r="A2507" s="631"/>
      <c r="B2507" s="631"/>
      <c r="C2507" s="631"/>
      <c r="D2507" s="832"/>
      <c r="E2507" s="631"/>
      <c r="F2507" s="631"/>
      <c r="G2507" s="631"/>
      <c r="H2507" s="833"/>
      <c r="I2507" s="834"/>
      <c r="J2507" s="834"/>
      <c r="K2507" s="835"/>
      <c r="L2507" s="835"/>
      <c r="M2507" s="835"/>
      <c r="N2507" s="835"/>
      <c r="O2507" s="835"/>
      <c r="P2507" s="835"/>
      <c r="Q2507" s="540"/>
      <c r="R2507" s="540"/>
      <c r="S2507" s="540"/>
      <c r="T2507" s="540"/>
      <c r="U2507" s="540"/>
      <c r="V2507" s="540"/>
      <c r="W2507" s="540"/>
      <c r="X2507" s="540"/>
      <c r="Y2507" s="540"/>
      <c r="Z2507" s="540"/>
    </row>
    <row r="2508" spans="1:26" ht="19">
      <c r="A2508" s="631"/>
      <c r="B2508" s="631"/>
      <c r="C2508" s="631"/>
      <c r="D2508" s="832"/>
      <c r="E2508" s="631"/>
      <c r="F2508" s="631"/>
      <c r="G2508" s="631"/>
      <c r="H2508" s="833"/>
      <c r="I2508" s="834"/>
      <c r="J2508" s="834"/>
      <c r="K2508" s="835"/>
      <c r="L2508" s="835"/>
      <c r="M2508" s="835"/>
      <c r="N2508" s="835"/>
      <c r="O2508" s="835"/>
      <c r="P2508" s="835"/>
      <c r="Q2508" s="540"/>
      <c r="R2508" s="540"/>
      <c r="S2508" s="540"/>
      <c r="T2508" s="540"/>
      <c r="U2508" s="540"/>
      <c r="V2508" s="540"/>
      <c r="W2508" s="540"/>
      <c r="X2508" s="540"/>
      <c r="Y2508" s="540"/>
      <c r="Z2508" s="540"/>
    </row>
    <row r="2509" spans="1:26" ht="19">
      <c r="A2509" s="631"/>
      <c r="B2509" s="631"/>
      <c r="C2509" s="631"/>
      <c r="D2509" s="832"/>
      <c r="E2509" s="631"/>
      <c r="F2509" s="631"/>
      <c r="G2509" s="631"/>
      <c r="H2509" s="833"/>
      <c r="I2509" s="834"/>
      <c r="J2509" s="834"/>
      <c r="K2509" s="835"/>
      <c r="L2509" s="835"/>
      <c r="M2509" s="835"/>
      <c r="N2509" s="835"/>
      <c r="O2509" s="835"/>
      <c r="P2509" s="835"/>
      <c r="Q2509" s="540"/>
      <c r="R2509" s="540"/>
      <c r="S2509" s="540"/>
      <c r="T2509" s="540"/>
      <c r="U2509" s="540"/>
      <c r="V2509" s="540"/>
      <c r="W2509" s="540"/>
      <c r="X2509" s="540"/>
      <c r="Y2509" s="540"/>
      <c r="Z2509" s="540"/>
    </row>
    <row r="2510" spans="1:26" ht="19">
      <c r="A2510" s="631"/>
      <c r="B2510" s="631"/>
      <c r="C2510" s="631"/>
      <c r="D2510" s="832"/>
      <c r="E2510" s="631"/>
      <c r="F2510" s="631"/>
      <c r="G2510" s="631"/>
      <c r="H2510" s="833"/>
      <c r="I2510" s="834"/>
      <c r="J2510" s="834"/>
      <c r="K2510" s="835"/>
      <c r="L2510" s="835"/>
      <c r="M2510" s="835"/>
      <c r="N2510" s="835"/>
      <c r="O2510" s="835"/>
      <c r="P2510" s="835"/>
      <c r="Q2510" s="540"/>
      <c r="R2510" s="540"/>
      <c r="S2510" s="540"/>
      <c r="T2510" s="540"/>
      <c r="U2510" s="540"/>
      <c r="V2510" s="540"/>
      <c r="W2510" s="540"/>
      <c r="X2510" s="540"/>
      <c r="Y2510" s="540"/>
      <c r="Z2510" s="540"/>
    </row>
    <row r="2511" spans="1:26" ht="19">
      <c r="A2511" s="631"/>
      <c r="B2511" s="631"/>
      <c r="C2511" s="631"/>
      <c r="D2511" s="832"/>
      <c r="E2511" s="631"/>
      <c r="F2511" s="631"/>
      <c r="G2511" s="631"/>
      <c r="H2511" s="833"/>
      <c r="I2511" s="834"/>
      <c r="J2511" s="834"/>
      <c r="K2511" s="835"/>
      <c r="L2511" s="835"/>
      <c r="M2511" s="835"/>
      <c r="N2511" s="835"/>
      <c r="O2511" s="835"/>
      <c r="P2511" s="835"/>
      <c r="Q2511" s="540"/>
      <c r="R2511" s="540"/>
      <c r="S2511" s="540"/>
      <c r="T2511" s="540"/>
      <c r="U2511" s="540"/>
      <c r="V2511" s="540"/>
      <c r="W2511" s="540"/>
      <c r="X2511" s="540"/>
      <c r="Y2511" s="540"/>
      <c r="Z2511" s="540"/>
    </row>
    <row r="2512" spans="1:26" ht="19">
      <c r="A2512" s="631"/>
      <c r="B2512" s="631"/>
      <c r="C2512" s="631"/>
      <c r="D2512" s="832"/>
      <c r="E2512" s="631"/>
      <c r="F2512" s="631"/>
      <c r="G2512" s="631"/>
      <c r="H2512" s="833"/>
      <c r="I2512" s="834"/>
      <c r="J2512" s="834"/>
      <c r="K2512" s="835"/>
      <c r="L2512" s="835"/>
      <c r="M2512" s="835"/>
      <c r="N2512" s="835"/>
      <c r="O2512" s="835"/>
      <c r="P2512" s="835"/>
      <c r="Q2512" s="540"/>
      <c r="R2512" s="540"/>
      <c r="S2512" s="540"/>
      <c r="T2512" s="540"/>
      <c r="U2512" s="540"/>
      <c r="V2512" s="540"/>
      <c r="W2512" s="540"/>
      <c r="X2512" s="540"/>
      <c r="Y2512" s="540"/>
      <c r="Z2512" s="540"/>
    </row>
    <row r="2513" spans="1:26" ht="19">
      <c r="A2513" s="631"/>
      <c r="B2513" s="631"/>
      <c r="C2513" s="631"/>
      <c r="D2513" s="832"/>
      <c r="E2513" s="631"/>
      <c r="F2513" s="631"/>
      <c r="G2513" s="631"/>
      <c r="H2513" s="833"/>
      <c r="I2513" s="834"/>
      <c r="J2513" s="834"/>
      <c r="K2513" s="835"/>
      <c r="L2513" s="835"/>
      <c r="M2513" s="835"/>
      <c r="N2513" s="835"/>
      <c r="O2513" s="835"/>
      <c r="P2513" s="835"/>
      <c r="Q2513" s="540"/>
      <c r="R2513" s="540"/>
      <c r="S2513" s="540"/>
      <c r="T2513" s="540"/>
      <c r="U2513" s="540"/>
      <c r="V2513" s="540"/>
      <c r="W2513" s="540"/>
      <c r="X2513" s="540"/>
      <c r="Y2513" s="540"/>
      <c r="Z2513" s="540"/>
    </row>
    <row r="2514" spans="1:26" ht="19">
      <c r="A2514" s="631"/>
      <c r="B2514" s="631"/>
      <c r="C2514" s="631"/>
      <c r="D2514" s="832"/>
      <c r="E2514" s="631"/>
      <c r="F2514" s="631"/>
      <c r="G2514" s="631"/>
      <c r="H2514" s="833"/>
      <c r="I2514" s="834"/>
      <c r="J2514" s="834"/>
      <c r="K2514" s="835"/>
      <c r="L2514" s="835"/>
      <c r="M2514" s="835"/>
      <c r="N2514" s="835"/>
      <c r="O2514" s="835"/>
      <c r="P2514" s="835"/>
      <c r="Q2514" s="540"/>
      <c r="R2514" s="540"/>
      <c r="S2514" s="540"/>
      <c r="T2514" s="540"/>
      <c r="U2514" s="540"/>
      <c r="V2514" s="540"/>
      <c r="W2514" s="540"/>
      <c r="X2514" s="540"/>
      <c r="Y2514" s="540"/>
      <c r="Z2514" s="540"/>
    </row>
    <row r="2515" spans="1:26" ht="19">
      <c r="A2515" s="631"/>
      <c r="B2515" s="631"/>
      <c r="C2515" s="631"/>
      <c r="D2515" s="832"/>
      <c r="E2515" s="631"/>
      <c r="F2515" s="631"/>
      <c r="G2515" s="631"/>
      <c r="H2515" s="833"/>
      <c r="I2515" s="834"/>
      <c r="J2515" s="834"/>
      <c r="K2515" s="835"/>
      <c r="L2515" s="835"/>
      <c r="M2515" s="835"/>
      <c r="N2515" s="835"/>
      <c r="O2515" s="835"/>
      <c r="P2515" s="835"/>
      <c r="Q2515" s="540"/>
      <c r="R2515" s="540"/>
      <c r="S2515" s="540"/>
      <c r="T2515" s="540"/>
      <c r="U2515" s="540"/>
      <c r="V2515" s="540"/>
      <c r="W2515" s="540"/>
      <c r="X2515" s="540"/>
      <c r="Y2515" s="540"/>
      <c r="Z2515" s="540"/>
    </row>
    <row r="2516" spans="1:26" ht="19">
      <c r="A2516" s="631"/>
      <c r="B2516" s="631"/>
      <c r="C2516" s="631"/>
      <c r="D2516" s="832"/>
      <c r="E2516" s="631"/>
      <c r="F2516" s="631"/>
      <c r="G2516" s="631"/>
      <c r="H2516" s="833"/>
      <c r="I2516" s="834"/>
      <c r="J2516" s="834"/>
      <c r="K2516" s="835"/>
      <c r="L2516" s="835"/>
      <c r="M2516" s="835"/>
      <c r="N2516" s="835"/>
      <c r="O2516" s="835"/>
      <c r="P2516" s="835"/>
      <c r="Q2516" s="540"/>
      <c r="R2516" s="540"/>
      <c r="S2516" s="540"/>
      <c r="T2516" s="540"/>
      <c r="U2516" s="540"/>
      <c r="V2516" s="540"/>
      <c r="W2516" s="540"/>
      <c r="X2516" s="540"/>
      <c r="Y2516" s="540"/>
      <c r="Z2516" s="540"/>
    </row>
    <row r="2517" spans="1:26" ht="19">
      <c r="A2517" s="631"/>
      <c r="B2517" s="631"/>
      <c r="C2517" s="631"/>
      <c r="D2517" s="832"/>
      <c r="E2517" s="631"/>
      <c r="F2517" s="631"/>
      <c r="G2517" s="631"/>
      <c r="H2517" s="833"/>
      <c r="I2517" s="834"/>
      <c r="J2517" s="834"/>
      <c r="K2517" s="835"/>
      <c r="L2517" s="835"/>
      <c r="M2517" s="835"/>
      <c r="N2517" s="835"/>
      <c r="O2517" s="835"/>
      <c r="P2517" s="835"/>
      <c r="Q2517" s="540"/>
      <c r="R2517" s="540"/>
      <c r="S2517" s="540"/>
      <c r="T2517" s="540"/>
      <c r="U2517" s="540"/>
      <c r="V2517" s="540"/>
      <c r="W2517" s="540"/>
      <c r="X2517" s="540"/>
      <c r="Y2517" s="540"/>
      <c r="Z2517" s="540"/>
    </row>
    <row r="2518" spans="1:26" ht="19">
      <c r="A2518" s="631"/>
      <c r="B2518" s="631"/>
      <c r="C2518" s="631"/>
      <c r="D2518" s="832"/>
      <c r="E2518" s="631"/>
      <c r="F2518" s="631"/>
      <c r="G2518" s="631"/>
      <c r="H2518" s="833"/>
      <c r="I2518" s="834"/>
      <c r="J2518" s="834"/>
      <c r="K2518" s="835"/>
      <c r="L2518" s="835"/>
      <c r="M2518" s="835"/>
      <c r="N2518" s="835"/>
      <c r="O2518" s="835"/>
      <c r="P2518" s="835"/>
      <c r="Q2518" s="540"/>
      <c r="R2518" s="540"/>
      <c r="S2518" s="540"/>
      <c r="T2518" s="540"/>
      <c r="U2518" s="540"/>
      <c r="V2518" s="540"/>
      <c r="W2518" s="540"/>
      <c r="X2518" s="540"/>
      <c r="Y2518" s="540"/>
      <c r="Z2518" s="540"/>
    </row>
    <row r="2519" spans="1:26" ht="19">
      <c r="A2519" s="631"/>
      <c r="B2519" s="631"/>
      <c r="C2519" s="631"/>
      <c r="D2519" s="832"/>
      <c r="E2519" s="631"/>
      <c r="F2519" s="631"/>
      <c r="G2519" s="631"/>
      <c r="H2519" s="833"/>
      <c r="I2519" s="834"/>
      <c r="J2519" s="834"/>
      <c r="K2519" s="835"/>
      <c r="L2519" s="835"/>
      <c r="M2519" s="835"/>
      <c r="N2519" s="835"/>
      <c r="O2519" s="835"/>
      <c r="P2519" s="835"/>
      <c r="Q2519" s="540"/>
      <c r="R2519" s="540"/>
      <c r="S2519" s="540"/>
      <c r="T2519" s="540"/>
      <c r="U2519" s="540"/>
      <c r="V2519" s="540"/>
      <c r="W2519" s="540"/>
      <c r="X2519" s="540"/>
      <c r="Y2519" s="540"/>
      <c r="Z2519" s="540"/>
    </row>
    <row r="2520" spans="1:26" ht="19">
      <c r="A2520" s="631"/>
      <c r="B2520" s="631"/>
      <c r="C2520" s="631"/>
      <c r="D2520" s="832"/>
      <c r="E2520" s="631"/>
      <c r="F2520" s="631"/>
      <c r="G2520" s="631"/>
      <c r="H2520" s="833"/>
      <c r="I2520" s="834"/>
      <c r="J2520" s="834"/>
      <c r="K2520" s="835"/>
      <c r="L2520" s="835"/>
      <c r="M2520" s="835"/>
      <c r="N2520" s="835"/>
      <c r="O2520" s="835"/>
      <c r="P2520" s="835"/>
      <c r="Q2520" s="540"/>
      <c r="R2520" s="540"/>
      <c r="S2520" s="540"/>
      <c r="T2520" s="540"/>
      <c r="U2520" s="540"/>
      <c r="V2520" s="540"/>
      <c r="W2520" s="540"/>
      <c r="X2520" s="540"/>
      <c r="Y2520" s="540"/>
      <c r="Z2520" s="540"/>
    </row>
    <row r="2521" spans="1:26" ht="19">
      <c r="A2521" s="631"/>
      <c r="B2521" s="631"/>
      <c r="C2521" s="631"/>
      <c r="D2521" s="832"/>
      <c r="E2521" s="631"/>
      <c r="F2521" s="631"/>
      <c r="G2521" s="631"/>
      <c r="H2521" s="833"/>
      <c r="I2521" s="834"/>
      <c r="J2521" s="834"/>
      <c r="K2521" s="835"/>
      <c r="L2521" s="835"/>
      <c r="M2521" s="835"/>
      <c r="N2521" s="835"/>
      <c r="O2521" s="835"/>
      <c r="P2521" s="835"/>
      <c r="Q2521" s="540"/>
      <c r="R2521" s="540"/>
      <c r="S2521" s="540"/>
      <c r="T2521" s="540"/>
      <c r="U2521" s="540"/>
      <c r="V2521" s="540"/>
      <c r="W2521" s="540"/>
      <c r="X2521" s="540"/>
      <c r="Y2521" s="540"/>
      <c r="Z2521" s="540"/>
    </row>
    <row r="2522" spans="1:26" ht="19">
      <c r="A2522" s="631"/>
      <c r="B2522" s="631"/>
      <c r="C2522" s="631"/>
      <c r="D2522" s="832"/>
      <c r="E2522" s="631"/>
      <c r="F2522" s="631"/>
      <c r="G2522" s="631"/>
      <c r="H2522" s="833"/>
      <c r="I2522" s="834"/>
      <c r="J2522" s="834"/>
      <c r="K2522" s="835"/>
      <c r="L2522" s="835"/>
      <c r="M2522" s="835"/>
      <c r="N2522" s="835"/>
      <c r="O2522" s="835"/>
      <c r="P2522" s="835"/>
      <c r="Q2522" s="540"/>
      <c r="R2522" s="540"/>
      <c r="S2522" s="540"/>
      <c r="T2522" s="540"/>
      <c r="U2522" s="540"/>
      <c r="V2522" s="540"/>
      <c r="W2522" s="540"/>
      <c r="X2522" s="540"/>
      <c r="Y2522" s="540"/>
      <c r="Z2522" s="540"/>
    </row>
    <row r="2523" spans="1:26" ht="19">
      <c r="A2523" s="631"/>
      <c r="B2523" s="631"/>
      <c r="C2523" s="631"/>
      <c r="D2523" s="832"/>
      <c r="E2523" s="631"/>
      <c r="F2523" s="631"/>
      <c r="G2523" s="631"/>
      <c r="H2523" s="833"/>
      <c r="I2523" s="834"/>
      <c r="J2523" s="834"/>
      <c r="K2523" s="835"/>
      <c r="L2523" s="835"/>
      <c r="M2523" s="835"/>
      <c r="N2523" s="835"/>
      <c r="O2523" s="835"/>
      <c r="P2523" s="835"/>
      <c r="Q2523" s="540"/>
      <c r="R2523" s="540"/>
      <c r="S2523" s="540"/>
      <c r="T2523" s="540"/>
      <c r="U2523" s="540"/>
      <c r="V2523" s="540"/>
      <c r="W2523" s="540"/>
      <c r="X2523" s="540"/>
      <c r="Y2523" s="540"/>
      <c r="Z2523" s="540"/>
    </row>
    <row r="2524" spans="1:26" ht="19">
      <c r="A2524" s="631"/>
      <c r="B2524" s="631"/>
      <c r="C2524" s="631"/>
      <c r="D2524" s="832"/>
      <c r="E2524" s="631"/>
      <c r="F2524" s="631"/>
      <c r="G2524" s="631"/>
      <c r="H2524" s="833"/>
      <c r="I2524" s="834"/>
      <c r="J2524" s="834"/>
      <c r="K2524" s="835"/>
      <c r="L2524" s="835"/>
      <c r="M2524" s="835"/>
      <c r="N2524" s="835"/>
      <c r="O2524" s="835"/>
      <c r="P2524" s="835"/>
      <c r="Q2524" s="540"/>
      <c r="R2524" s="540"/>
      <c r="S2524" s="540"/>
      <c r="T2524" s="540"/>
      <c r="U2524" s="540"/>
      <c r="V2524" s="540"/>
      <c r="W2524" s="540"/>
      <c r="X2524" s="540"/>
      <c r="Y2524" s="540"/>
      <c r="Z2524" s="540"/>
    </row>
    <row r="2525" spans="1:26" ht="19">
      <c r="A2525" s="631"/>
      <c r="B2525" s="631"/>
      <c r="C2525" s="631"/>
      <c r="D2525" s="832"/>
      <c r="E2525" s="631"/>
      <c r="F2525" s="631"/>
      <c r="G2525" s="631"/>
      <c r="H2525" s="833"/>
      <c r="I2525" s="834"/>
      <c r="J2525" s="834"/>
      <c r="K2525" s="835"/>
      <c r="L2525" s="835"/>
      <c r="M2525" s="835"/>
      <c r="N2525" s="835"/>
      <c r="O2525" s="835"/>
      <c r="P2525" s="835"/>
      <c r="Q2525" s="540"/>
      <c r="R2525" s="540"/>
      <c r="S2525" s="540"/>
      <c r="T2525" s="540"/>
      <c r="U2525" s="540"/>
      <c r="V2525" s="540"/>
      <c r="W2525" s="540"/>
      <c r="X2525" s="540"/>
      <c r="Y2525" s="540"/>
      <c r="Z2525" s="540"/>
    </row>
    <row r="2526" spans="1:26" ht="19">
      <c r="A2526" s="631"/>
      <c r="B2526" s="631"/>
      <c r="C2526" s="631"/>
      <c r="D2526" s="832"/>
      <c r="E2526" s="631"/>
      <c r="F2526" s="631"/>
      <c r="G2526" s="631"/>
      <c r="H2526" s="833"/>
      <c r="I2526" s="834"/>
      <c r="J2526" s="834"/>
      <c r="K2526" s="835"/>
      <c r="L2526" s="835"/>
      <c r="M2526" s="835"/>
      <c r="N2526" s="835"/>
      <c r="O2526" s="835"/>
      <c r="P2526" s="835"/>
      <c r="Q2526" s="540"/>
      <c r="R2526" s="540"/>
      <c r="S2526" s="540"/>
      <c r="T2526" s="540"/>
      <c r="U2526" s="540"/>
      <c r="V2526" s="540"/>
      <c r="W2526" s="540"/>
      <c r="X2526" s="540"/>
      <c r="Y2526" s="540"/>
      <c r="Z2526" s="540"/>
    </row>
    <row r="2527" spans="1:26" ht="19">
      <c r="A2527" s="631"/>
      <c r="B2527" s="631"/>
      <c r="C2527" s="631"/>
      <c r="D2527" s="832"/>
      <c r="E2527" s="631"/>
      <c r="F2527" s="631"/>
      <c r="G2527" s="631"/>
      <c r="H2527" s="833"/>
      <c r="I2527" s="834"/>
      <c r="J2527" s="834"/>
      <c r="K2527" s="835"/>
      <c r="L2527" s="835"/>
      <c r="M2527" s="835"/>
      <c r="N2527" s="835"/>
      <c r="O2527" s="835"/>
      <c r="P2527" s="835"/>
      <c r="Q2527" s="540"/>
      <c r="R2527" s="540"/>
      <c r="S2527" s="540"/>
      <c r="T2527" s="540"/>
      <c r="U2527" s="540"/>
      <c r="V2527" s="540"/>
      <c r="W2527" s="540"/>
      <c r="X2527" s="540"/>
      <c r="Y2527" s="540"/>
      <c r="Z2527" s="540"/>
    </row>
    <row r="2528" spans="1:26" ht="19">
      <c r="A2528" s="631"/>
      <c r="B2528" s="631"/>
      <c r="C2528" s="631"/>
      <c r="D2528" s="832"/>
      <c r="E2528" s="631"/>
      <c r="F2528" s="631"/>
      <c r="G2528" s="631"/>
      <c r="H2528" s="833"/>
      <c r="I2528" s="834"/>
      <c r="J2528" s="834"/>
      <c r="K2528" s="835"/>
      <c r="L2528" s="835"/>
      <c r="M2528" s="835"/>
      <c r="N2528" s="835"/>
      <c r="O2528" s="835"/>
      <c r="P2528" s="835"/>
      <c r="Q2528" s="540"/>
      <c r="R2528" s="540"/>
      <c r="S2528" s="540"/>
      <c r="T2528" s="540"/>
      <c r="U2528" s="540"/>
      <c r="V2528" s="540"/>
      <c r="W2528" s="540"/>
      <c r="X2528" s="540"/>
      <c r="Y2528" s="540"/>
      <c r="Z2528" s="540"/>
    </row>
    <row r="2529" spans="1:26" ht="19">
      <c r="A2529" s="631"/>
      <c r="B2529" s="631"/>
      <c r="C2529" s="631"/>
      <c r="D2529" s="832"/>
      <c r="E2529" s="631"/>
      <c r="F2529" s="631"/>
      <c r="G2529" s="631"/>
      <c r="H2529" s="833"/>
      <c r="I2529" s="834"/>
      <c r="J2529" s="834"/>
      <c r="K2529" s="835"/>
      <c r="L2529" s="835"/>
      <c r="M2529" s="835"/>
      <c r="N2529" s="835"/>
      <c r="O2529" s="835"/>
      <c r="P2529" s="835"/>
      <c r="Q2529" s="540"/>
      <c r="R2529" s="540"/>
      <c r="S2529" s="540"/>
      <c r="T2529" s="540"/>
      <c r="U2529" s="540"/>
      <c r="V2529" s="540"/>
      <c r="W2529" s="540"/>
      <c r="X2529" s="540"/>
      <c r="Y2529" s="540"/>
      <c r="Z2529" s="540"/>
    </row>
    <row r="2530" spans="1:26" ht="19">
      <c r="A2530" s="631"/>
      <c r="B2530" s="631"/>
      <c r="C2530" s="631"/>
      <c r="D2530" s="832"/>
      <c r="E2530" s="631"/>
      <c r="F2530" s="631"/>
      <c r="G2530" s="631"/>
      <c r="H2530" s="833"/>
      <c r="I2530" s="834"/>
      <c r="J2530" s="834"/>
      <c r="K2530" s="835"/>
      <c r="L2530" s="835"/>
      <c r="M2530" s="835"/>
      <c r="N2530" s="835"/>
      <c r="O2530" s="835"/>
      <c r="P2530" s="835"/>
      <c r="Q2530" s="540"/>
      <c r="R2530" s="540"/>
      <c r="S2530" s="540"/>
      <c r="T2530" s="540"/>
      <c r="U2530" s="540"/>
      <c r="V2530" s="540"/>
      <c r="W2530" s="540"/>
      <c r="X2530" s="540"/>
      <c r="Y2530" s="540"/>
      <c r="Z2530" s="540"/>
    </row>
    <row r="2531" spans="1:26" ht="19">
      <c r="A2531" s="631"/>
      <c r="B2531" s="631"/>
      <c r="C2531" s="631"/>
      <c r="D2531" s="832"/>
      <c r="E2531" s="631"/>
      <c r="F2531" s="631"/>
      <c r="G2531" s="631"/>
      <c r="H2531" s="833"/>
      <c r="I2531" s="834"/>
      <c r="J2531" s="834"/>
      <c r="K2531" s="835"/>
      <c r="L2531" s="835"/>
      <c r="M2531" s="835"/>
      <c r="N2531" s="835"/>
      <c r="O2531" s="835"/>
      <c r="P2531" s="835"/>
      <c r="Q2531" s="540"/>
      <c r="R2531" s="540"/>
      <c r="S2531" s="540"/>
      <c r="T2531" s="540"/>
      <c r="U2531" s="540"/>
      <c r="V2531" s="540"/>
      <c r="W2531" s="540"/>
      <c r="X2531" s="540"/>
      <c r="Y2531" s="540"/>
      <c r="Z2531" s="540"/>
    </row>
    <row r="2532" spans="1:26" ht="19">
      <c r="A2532" s="631"/>
      <c r="B2532" s="631"/>
      <c r="C2532" s="631"/>
      <c r="D2532" s="832"/>
      <c r="E2532" s="631"/>
      <c r="F2532" s="631"/>
      <c r="G2532" s="631"/>
      <c r="H2532" s="833"/>
      <c r="I2532" s="834"/>
      <c r="J2532" s="834"/>
      <c r="K2532" s="835"/>
      <c r="L2532" s="835"/>
      <c r="M2532" s="835"/>
      <c r="N2532" s="835"/>
      <c r="O2532" s="835"/>
      <c r="P2532" s="835"/>
      <c r="Q2532" s="540"/>
      <c r="R2532" s="540"/>
      <c r="S2532" s="540"/>
      <c r="T2532" s="540"/>
      <c r="U2532" s="540"/>
      <c r="V2532" s="540"/>
      <c r="W2532" s="540"/>
      <c r="X2532" s="540"/>
      <c r="Y2532" s="540"/>
      <c r="Z2532" s="540"/>
    </row>
    <row r="2533" spans="1:26" ht="19">
      <c r="A2533" s="631"/>
      <c r="B2533" s="631"/>
      <c r="C2533" s="631"/>
      <c r="D2533" s="832"/>
      <c r="E2533" s="631"/>
      <c r="F2533" s="631"/>
      <c r="G2533" s="631"/>
      <c r="H2533" s="833"/>
      <c r="I2533" s="834"/>
      <c r="J2533" s="834"/>
      <c r="K2533" s="835"/>
      <c r="L2533" s="835"/>
      <c r="M2533" s="835"/>
      <c r="N2533" s="835"/>
      <c r="O2533" s="835"/>
      <c r="P2533" s="835"/>
      <c r="Q2533" s="540"/>
      <c r="R2533" s="540"/>
      <c r="S2533" s="540"/>
      <c r="T2533" s="540"/>
      <c r="U2533" s="540"/>
      <c r="V2533" s="540"/>
      <c r="W2533" s="540"/>
      <c r="X2533" s="540"/>
      <c r="Y2533" s="540"/>
      <c r="Z2533" s="540"/>
    </row>
    <row r="2534" spans="1:26" ht="19">
      <c r="A2534" s="631"/>
      <c r="B2534" s="631"/>
      <c r="C2534" s="631"/>
      <c r="D2534" s="832"/>
      <c r="E2534" s="631"/>
      <c r="F2534" s="631"/>
      <c r="G2534" s="631"/>
      <c r="H2534" s="833"/>
      <c r="I2534" s="834"/>
      <c r="J2534" s="834"/>
      <c r="K2534" s="835"/>
      <c r="L2534" s="835"/>
      <c r="M2534" s="835"/>
      <c r="N2534" s="835"/>
      <c r="O2534" s="835"/>
      <c r="P2534" s="835"/>
      <c r="Q2534" s="540"/>
      <c r="R2534" s="540"/>
      <c r="S2534" s="540"/>
      <c r="T2534" s="540"/>
      <c r="U2534" s="540"/>
      <c r="V2534" s="540"/>
      <c r="W2534" s="540"/>
      <c r="X2534" s="540"/>
      <c r="Y2534" s="540"/>
      <c r="Z2534" s="540"/>
    </row>
    <row r="2535" spans="1:26" ht="19">
      <c r="A2535" s="631"/>
      <c r="B2535" s="631"/>
      <c r="C2535" s="631"/>
      <c r="D2535" s="832"/>
      <c r="E2535" s="631"/>
      <c r="F2535" s="631"/>
      <c r="G2535" s="631"/>
      <c r="H2535" s="833"/>
      <c r="I2535" s="834"/>
      <c r="J2535" s="834"/>
      <c r="K2535" s="835"/>
      <c r="L2535" s="835"/>
      <c r="M2535" s="835"/>
      <c r="N2535" s="835"/>
      <c r="O2535" s="835"/>
      <c r="P2535" s="835"/>
      <c r="Q2535" s="540"/>
      <c r="R2535" s="540"/>
      <c r="S2535" s="540"/>
      <c r="T2535" s="540"/>
      <c r="U2535" s="540"/>
      <c r="V2535" s="540"/>
      <c r="W2535" s="540"/>
      <c r="X2535" s="540"/>
      <c r="Y2535" s="540"/>
      <c r="Z2535" s="540"/>
    </row>
    <row r="2536" spans="1:26" ht="19">
      <c r="A2536" s="631"/>
      <c r="B2536" s="631"/>
      <c r="C2536" s="631"/>
      <c r="D2536" s="832"/>
      <c r="E2536" s="631"/>
      <c r="F2536" s="631"/>
      <c r="G2536" s="631"/>
      <c r="H2536" s="833"/>
      <c r="I2536" s="834"/>
      <c r="J2536" s="834"/>
      <c r="K2536" s="835"/>
      <c r="L2536" s="835"/>
      <c r="M2536" s="835"/>
      <c r="N2536" s="835"/>
      <c r="O2536" s="835"/>
      <c r="P2536" s="835"/>
      <c r="Q2536" s="540"/>
      <c r="R2536" s="540"/>
      <c r="S2536" s="540"/>
      <c r="T2536" s="540"/>
      <c r="U2536" s="540"/>
      <c r="V2536" s="540"/>
      <c r="W2536" s="540"/>
      <c r="X2536" s="540"/>
      <c r="Y2536" s="540"/>
      <c r="Z2536" s="540"/>
    </row>
    <row r="2537" spans="1:26" ht="19">
      <c r="A2537" s="631"/>
      <c r="B2537" s="631"/>
      <c r="C2537" s="631"/>
      <c r="D2537" s="832"/>
      <c r="E2537" s="631"/>
      <c r="F2537" s="631"/>
      <c r="G2537" s="631"/>
      <c r="H2537" s="833"/>
      <c r="I2537" s="834"/>
      <c r="J2537" s="834"/>
      <c r="K2537" s="835"/>
      <c r="L2537" s="835"/>
      <c r="M2537" s="835"/>
      <c r="N2537" s="835"/>
      <c r="O2537" s="835"/>
      <c r="P2537" s="835"/>
      <c r="Q2537" s="540"/>
      <c r="R2537" s="540"/>
      <c r="S2537" s="540"/>
      <c r="T2537" s="540"/>
      <c r="U2537" s="540"/>
      <c r="V2537" s="540"/>
      <c r="W2537" s="540"/>
      <c r="X2537" s="540"/>
      <c r="Y2537" s="540"/>
      <c r="Z2537" s="540"/>
    </row>
    <row r="2538" spans="1:26" ht="19">
      <c r="A2538" s="631"/>
      <c r="B2538" s="631"/>
      <c r="C2538" s="631"/>
      <c r="D2538" s="832"/>
      <c r="E2538" s="631"/>
      <c r="F2538" s="631"/>
      <c r="G2538" s="631"/>
      <c r="H2538" s="833"/>
      <c r="I2538" s="834"/>
      <c r="J2538" s="834"/>
      <c r="K2538" s="835"/>
      <c r="L2538" s="835"/>
      <c r="M2538" s="835"/>
      <c r="N2538" s="835"/>
      <c r="O2538" s="835"/>
      <c r="P2538" s="835"/>
      <c r="Q2538" s="540"/>
      <c r="R2538" s="540"/>
      <c r="S2538" s="540"/>
      <c r="T2538" s="540"/>
      <c r="U2538" s="540"/>
      <c r="V2538" s="540"/>
      <c r="W2538" s="540"/>
      <c r="X2538" s="540"/>
      <c r="Y2538" s="540"/>
      <c r="Z2538" s="540"/>
    </row>
    <row r="2539" spans="1:26" ht="19">
      <c r="A2539" s="631"/>
      <c r="B2539" s="631"/>
      <c r="C2539" s="631"/>
      <c r="D2539" s="832"/>
      <c r="E2539" s="631"/>
      <c r="F2539" s="631"/>
      <c r="G2539" s="631"/>
      <c r="H2539" s="833"/>
      <c r="I2539" s="834"/>
      <c r="J2539" s="834"/>
      <c r="K2539" s="835"/>
      <c r="L2539" s="835"/>
      <c r="M2539" s="835"/>
      <c r="N2539" s="835"/>
      <c r="O2539" s="835"/>
      <c r="P2539" s="835"/>
      <c r="Q2539" s="540"/>
      <c r="R2539" s="540"/>
      <c r="S2539" s="540"/>
      <c r="T2539" s="540"/>
      <c r="U2539" s="540"/>
      <c r="V2539" s="540"/>
      <c r="W2539" s="540"/>
      <c r="X2539" s="540"/>
      <c r="Y2539" s="540"/>
      <c r="Z2539" s="540"/>
    </row>
    <row r="2540" spans="1:26" ht="19">
      <c r="A2540" s="631"/>
      <c r="B2540" s="631"/>
      <c r="C2540" s="631"/>
      <c r="D2540" s="832"/>
      <c r="E2540" s="631"/>
      <c r="F2540" s="631"/>
      <c r="G2540" s="631"/>
      <c r="H2540" s="833"/>
      <c r="I2540" s="834"/>
      <c r="J2540" s="834"/>
      <c r="K2540" s="835"/>
      <c r="L2540" s="835"/>
      <c r="M2540" s="835"/>
      <c r="N2540" s="835"/>
      <c r="O2540" s="835"/>
      <c r="P2540" s="835"/>
      <c r="Q2540" s="540"/>
      <c r="R2540" s="540"/>
      <c r="S2540" s="540"/>
      <c r="T2540" s="540"/>
      <c r="U2540" s="540"/>
      <c r="V2540" s="540"/>
      <c r="W2540" s="540"/>
      <c r="X2540" s="540"/>
      <c r="Y2540" s="540"/>
      <c r="Z2540" s="540"/>
    </row>
    <row r="2541" spans="1:26" ht="19">
      <c r="A2541" s="631"/>
      <c r="B2541" s="631"/>
      <c r="C2541" s="631"/>
      <c r="D2541" s="832"/>
      <c r="E2541" s="631"/>
      <c r="F2541" s="631"/>
      <c r="G2541" s="631"/>
      <c r="H2541" s="833"/>
      <c r="I2541" s="834"/>
      <c r="J2541" s="834"/>
      <c r="K2541" s="835"/>
      <c r="L2541" s="835"/>
      <c r="M2541" s="835"/>
      <c r="N2541" s="835"/>
      <c r="O2541" s="835"/>
      <c r="P2541" s="835"/>
      <c r="Q2541" s="540"/>
      <c r="R2541" s="540"/>
      <c r="S2541" s="540"/>
      <c r="T2541" s="540"/>
      <c r="U2541" s="540"/>
      <c r="V2541" s="540"/>
      <c r="W2541" s="540"/>
      <c r="X2541" s="540"/>
      <c r="Y2541" s="540"/>
      <c r="Z2541" s="540"/>
    </row>
    <row r="2542" spans="1:26" ht="19">
      <c r="A2542" s="631"/>
      <c r="B2542" s="631"/>
      <c r="C2542" s="631"/>
      <c r="D2542" s="832"/>
      <c r="E2542" s="631"/>
      <c r="F2542" s="631"/>
      <c r="G2542" s="631"/>
      <c r="H2542" s="833"/>
      <c r="I2542" s="834"/>
      <c r="J2542" s="834"/>
      <c r="K2542" s="835"/>
      <c r="L2542" s="835"/>
      <c r="M2542" s="835"/>
      <c r="N2542" s="835"/>
      <c r="O2542" s="835"/>
      <c r="P2542" s="835"/>
      <c r="Q2542" s="540"/>
      <c r="R2542" s="540"/>
      <c r="S2542" s="540"/>
      <c r="T2542" s="540"/>
      <c r="U2542" s="540"/>
      <c r="V2542" s="540"/>
      <c r="W2542" s="540"/>
      <c r="X2542" s="540"/>
      <c r="Y2542" s="540"/>
      <c r="Z2542" s="540"/>
    </row>
    <row r="2543" spans="1:26" ht="19">
      <c r="A2543" s="631"/>
      <c r="B2543" s="631"/>
      <c r="C2543" s="631"/>
      <c r="D2543" s="832"/>
      <c r="E2543" s="631"/>
      <c r="F2543" s="631"/>
      <c r="G2543" s="631"/>
      <c r="H2543" s="833"/>
      <c r="I2543" s="834"/>
      <c r="J2543" s="834"/>
      <c r="K2543" s="835"/>
      <c r="L2543" s="835"/>
      <c r="M2543" s="835"/>
      <c r="N2543" s="835"/>
      <c r="O2543" s="835"/>
      <c r="P2543" s="835"/>
      <c r="Q2543" s="540"/>
      <c r="R2543" s="540"/>
      <c r="S2543" s="540"/>
      <c r="T2543" s="540"/>
      <c r="U2543" s="540"/>
      <c r="V2543" s="540"/>
      <c r="W2543" s="540"/>
      <c r="X2543" s="540"/>
      <c r="Y2543" s="540"/>
      <c r="Z2543" s="540"/>
    </row>
    <row r="2544" spans="1:26" ht="19">
      <c r="A2544" s="631"/>
      <c r="B2544" s="631"/>
      <c r="C2544" s="631"/>
      <c r="D2544" s="832"/>
      <c r="E2544" s="631"/>
      <c r="F2544" s="631"/>
      <c r="G2544" s="631"/>
      <c r="H2544" s="833"/>
      <c r="I2544" s="834"/>
      <c r="J2544" s="834"/>
      <c r="K2544" s="835"/>
      <c r="L2544" s="835"/>
      <c r="M2544" s="835"/>
      <c r="N2544" s="835"/>
      <c r="O2544" s="835"/>
      <c r="P2544" s="835"/>
      <c r="Q2544" s="540"/>
      <c r="R2544" s="540"/>
      <c r="S2544" s="540"/>
      <c r="T2544" s="540"/>
      <c r="U2544" s="540"/>
      <c r="V2544" s="540"/>
      <c r="W2544" s="540"/>
      <c r="X2544" s="540"/>
      <c r="Y2544" s="540"/>
      <c r="Z2544" s="540"/>
    </row>
    <row r="2545" spans="1:26" ht="19">
      <c r="A2545" s="631"/>
      <c r="B2545" s="631"/>
      <c r="C2545" s="631"/>
      <c r="D2545" s="832"/>
      <c r="E2545" s="631"/>
      <c r="F2545" s="631"/>
      <c r="G2545" s="631"/>
      <c r="H2545" s="833"/>
      <c r="I2545" s="834"/>
      <c r="J2545" s="834"/>
      <c r="K2545" s="835"/>
      <c r="L2545" s="835"/>
      <c r="M2545" s="835"/>
      <c r="N2545" s="835"/>
      <c r="O2545" s="835"/>
      <c r="P2545" s="835"/>
      <c r="Q2545" s="540"/>
      <c r="R2545" s="540"/>
      <c r="S2545" s="540"/>
      <c r="T2545" s="540"/>
      <c r="U2545" s="540"/>
      <c r="V2545" s="540"/>
      <c r="W2545" s="540"/>
      <c r="X2545" s="540"/>
      <c r="Y2545" s="540"/>
      <c r="Z2545" s="540"/>
    </row>
    <row r="2546" spans="1:26" ht="19">
      <c r="A2546" s="631"/>
      <c r="B2546" s="631"/>
      <c r="C2546" s="631"/>
      <c r="D2546" s="832"/>
      <c r="E2546" s="631"/>
      <c r="F2546" s="631"/>
      <c r="G2546" s="631"/>
      <c r="H2546" s="833"/>
      <c r="I2546" s="834"/>
      <c r="J2546" s="834"/>
      <c r="K2546" s="835"/>
      <c r="L2546" s="835"/>
      <c r="M2546" s="835"/>
      <c r="N2546" s="835"/>
      <c r="O2546" s="835"/>
      <c r="P2546" s="835"/>
      <c r="Q2546" s="540"/>
      <c r="R2546" s="540"/>
      <c r="S2546" s="540"/>
      <c r="T2546" s="540"/>
      <c r="U2546" s="540"/>
      <c r="V2546" s="540"/>
      <c r="W2546" s="540"/>
      <c r="X2546" s="540"/>
      <c r="Y2546" s="540"/>
      <c r="Z2546" s="540"/>
    </row>
    <row r="2547" spans="1:26" ht="19">
      <c r="A2547" s="631"/>
      <c r="B2547" s="631"/>
      <c r="C2547" s="631"/>
      <c r="D2547" s="832"/>
      <c r="E2547" s="631"/>
      <c r="F2547" s="631"/>
      <c r="G2547" s="631"/>
      <c r="H2547" s="833"/>
      <c r="I2547" s="834"/>
      <c r="J2547" s="834"/>
      <c r="K2547" s="835"/>
      <c r="L2547" s="835"/>
      <c r="M2547" s="835"/>
      <c r="N2547" s="835"/>
      <c r="O2547" s="835"/>
      <c r="P2547" s="835"/>
      <c r="Q2547" s="540"/>
      <c r="R2547" s="540"/>
      <c r="S2547" s="540"/>
      <c r="T2547" s="540"/>
      <c r="U2547" s="540"/>
      <c r="V2547" s="540"/>
      <c r="W2547" s="540"/>
      <c r="X2547" s="540"/>
      <c r="Y2547" s="540"/>
      <c r="Z2547" s="540"/>
    </row>
    <row r="2548" spans="1:26" ht="19">
      <c r="A2548" s="631"/>
      <c r="B2548" s="631"/>
      <c r="C2548" s="631"/>
      <c r="D2548" s="832"/>
      <c r="E2548" s="631"/>
      <c r="F2548" s="631"/>
      <c r="G2548" s="631"/>
      <c r="H2548" s="833"/>
      <c r="I2548" s="834"/>
      <c r="J2548" s="834"/>
      <c r="K2548" s="835"/>
      <c r="L2548" s="835"/>
      <c r="M2548" s="835"/>
      <c r="N2548" s="835"/>
      <c r="O2548" s="835"/>
      <c r="P2548" s="835"/>
      <c r="Q2548" s="540"/>
      <c r="R2548" s="540"/>
      <c r="S2548" s="540"/>
      <c r="T2548" s="540"/>
      <c r="U2548" s="540"/>
      <c r="V2548" s="540"/>
      <c r="W2548" s="540"/>
      <c r="X2548" s="540"/>
      <c r="Y2548" s="540"/>
      <c r="Z2548" s="540"/>
    </row>
    <row r="2549" spans="1:26" ht="19">
      <c r="A2549" s="631"/>
      <c r="B2549" s="631"/>
      <c r="C2549" s="631"/>
      <c r="D2549" s="832"/>
      <c r="E2549" s="631"/>
      <c r="F2549" s="631"/>
      <c r="G2549" s="631"/>
      <c r="H2549" s="833"/>
      <c r="I2549" s="834"/>
      <c r="J2549" s="834"/>
      <c r="K2549" s="835"/>
      <c r="L2549" s="835"/>
      <c r="M2549" s="835"/>
      <c r="N2549" s="835"/>
      <c r="O2549" s="835"/>
      <c r="P2549" s="835"/>
      <c r="Q2549" s="540"/>
      <c r="R2549" s="540"/>
      <c r="S2549" s="540"/>
      <c r="T2549" s="540"/>
      <c r="U2549" s="540"/>
      <c r="V2549" s="540"/>
      <c r="W2549" s="540"/>
      <c r="X2549" s="540"/>
      <c r="Y2549" s="540"/>
      <c r="Z2549" s="540"/>
    </row>
    <row r="2550" spans="1:26" ht="19">
      <c r="A2550" s="631"/>
      <c r="B2550" s="631"/>
      <c r="C2550" s="631"/>
      <c r="D2550" s="832"/>
      <c r="E2550" s="631"/>
      <c r="F2550" s="631"/>
      <c r="G2550" s="631"/>
      <c r="H2550" s="833"/>
      <c r="I2550" s="834"/>
      <c r="J2550" s="834"/>
      <c r="K2550" s="835"/>
      <c r="L2550" s="835"/>
      <c r="M2550" s="835"/>
      <c r="N2550" s="835"/>
      <c r="O2550" s="835"/>
      <c r="P2550" s="835"/>
      <c r="Q2550" s="540"/>
      <c r="R2550" s="540"/>
      <c r="S2550" s="540"/>
      <c r="T2550" s="540"/>
      <c r="U2550" s="540"/>
      <c r="V2550" s="540"/>
      <c r="W2550" s="540"/>
      <c r="X2550" s="540"/>
      <c r="Y2550" s="540"/>
      <c r="Z2550" s="540"/>
    </row>
    <row r="2551" spans="1:26" ht="19">
      <c r="A2551" s="631"/>
      <c r="B2551" s="631"/>
      <c r="C2551" s="631"/>
      <c r="D2551" s="832"/>
      <c r="E2551" s="631"/>
      <c r="F2551" s="631"/>
      <c r="G2551" s="631"/>
      <c r="H2551" s="833"/>
      <c r="I2551" s="834"/>
      <c r="J2551" s="834"/>
      <c r="K2551" s="835"/>
      <c r="L2551" s="835"/>
      <c r="M2551" s="835"/>
      <c r="N2551" s="835"/>
      <c r="O2551" s="835"/>
      <c r="P2551" s="835"/>
      <c r="Q2551" s="540"/>
      <c r="R2551" s="540"/>
      <c r="S2551" s="540"/>
      <c r="T2551" s="540"/>
      <c r="U2551" s="540"/>
      <c r="V2551" s="540"/>
      <c r="W2551" s="540"/>
      <c r="X2551" s="540"/>
      <c r="Y2551" s="540"/>
      <c r="Z2551" s="540"/>
    </row>
    <row r="2552" spans="1:26" ht="19">
      <c r="A2552" s="631"/>
      <c r="B2552" s="631"/>
      <c r="C2552" s="631"/>
      <c r="D2552" s="832"/>
      <c r="E2552" s="631"/>
      <c r="F2552" s="631"/>
      <c r="G2552" s="631"/>
      <c r="H2552" s="833"/>
      <c r="I2552" s="834"/>
      <c r="J2552" s="834"/>
      <c r="K2552" s="835"/>
      <c r="L2552" s="835"/>
      <c r="M2552" s="835"/>
      <c r="N2552" s="835"/>
      <c r="O2552" s="835"/>
      <c r="P2552" s="835"/>
      <c r="Q2552" s="540"/>
      <c r="R2552" s="540"/>
      <c r="S2552" s="540"/>
      <c r="T2552" s="540"/>
      <c r="U2552" s="540"/>
      <c r="V2552" s="540"/>
      <c r="W2552" s="540"/>
      <c r="X2552" s="540"/>
      <c r="Y2552" s="540"/>
      <c r="Z2552" s="540"/>
    </row>
    <row r="2553" spans="1:26" ht="19">
      <c r="A2553" s="631"/>
      <c r="B2553" s="631"/>
      <c r="C2553" s="631"/>
      <c r="D2553" s="832"/>
      <c r="E2553" s="631"/>
      <c r="F2553" s="631"/>
      <c r="G2553" s="631"/>
      <c r="H2553" s="833"/>
      <c r="I2553" s="834"/>
      <c r="J2553" s="834"/>
      <c r="K2553" s="835"/>
      <c r="L2553" s="835"/>
      <c r="M2553" s="835"/>
      <c r="N2553" s="835"/>
      <c r="O2553" s="835"/>
      <c r="P2553" s="835"/>
      <c r="Q2553" s="540"/>
      <c r="R2553" s="540"/>
      <c r="S2553" s="540"/>
      <c r="T2553" s="540"/>
      <c r="U2553" s="540"/>
      <c r="V2553" s="540"/>
      <c r="W2553" s="540"/>
      <c r="X2553" s="540"/>
      <c r="Y2553" s="540"/>
      <c r="Z2553" s="540"/>
    </row>
    <row r="2554" spans="1:26" ht="19">
      <c r="A2554" s="631"/>
      <c r="B2554" s="631"/>
      <c r="C2554" s="631"/>
      <c r="D2554" s="832"/>
      <c r="E2554" s="631"/>
      <c r="F2554" s="631"/>
      <c r="G2554" s="631"/>
      <c r="H2554" s="833"/>
      <c r="I2554" s="834"/>
      <c r="J2554" s="834"/>
      <c r="K2554" s="835"/>
      <c r="L2554" s="835"/>
      <c r="M2554" s="835"/>
      <c r="N2554" s="835"/>
      <c r="O2554" s="835"/>
      <c r="P2554" s="835"/>
      <c r="Q2554" s="540"/>
      <c r="R2554" s="540"/>
      <c r="S2554" s="540"/>
      <c r="T2554" s="540"/>
      <c r="U2554" s="540"/>
      <c r="V2554" s="540"/>
      <c r="W2554" s="540"/>
      <c r="X2554" s="540"/>
      <c r="Y2554" s="540"/>
      <c r="Z2554" s="540"/>
    </row>
    <row r="2555" spans="1:26" ht="19">
      <c r="A2555" s="631"/>
      <c r="B2555" s="631"/>
      <c r="C2555" s="631"/>
      <c r="D2555" s="832"/>
      <c r="E2555" s="631"/>
      <c r="F2555" s="631"/>
      <c r="G2555" s="631"/>
      <c r="H2555" s="833"/>
      <c r="I2555" s="834"/>
      <c r="J2555" s="834"/>
      <c r="K2555" s="835"/>
      <c r="L2555" s="835"/>
      <c r="M2555" s="835"/>
      <c r="N2555" s="835"/>
      <c r="O2555" s="835"/>
      <c r="P2555" s="835"/>
      <c r="Q2555" s="540"/>
      <c r="R2555" s="540"/>
      <c r="S2555" s="540"/>
      <c r="T2555" s="540"/>
      <c r="U2555" s="540"/>
      <c r="V2555" s="540"/>
      <c r="W2555" s="540"/>
      <c r="X2555" s="540"/>
      <c r="Y2555" s="540"/>
      <c r="Z2555" s="540"/>
    </row>
    <row r="2556" spans="1:26" ht="19">
      <c r="A2556" s="631"/>
      <c r="B2556" s="631"/>
      <c r="C2556" s="631"/>
      <c r="D2556" s="832"/>
      <c r="E2556" s="631"/>
      <c r="F2556" s="631"/>
      <c r="G2556" s="631"/>
      <c r="H2556" s="833"/>
      <c r="I2556" s="834"/>
      <c r="J2556" s="834"/>
      <c r="K2556" s="835"/>
      <c r="L2556" s="835"/>
      <c r="M2556" s="835"/>
      <c r="N2556" s="835"/>
      <c r="O2556" s="835"/>
      <c r="P2556" s="835"/>
      <c r="Q2556" s="540"/>
      <c r="R2556" s="540"/>
      <c r="S2556" s="540"/>
      <c r="T2556" s="540"/>
      <c r="U2556" s="540"/>
      <c r="V2556" s="540"/>
      <c r="W2556" s="540"/>
      <c r="X2556" s="540"/>
      <c r="Y2556" s="540"/>
      <c r="Z2556" s="540"/>
    </row>
    <row r="2557" spans="1:26" ht="19">
      <c r="A2557" s="631"/>
      <c r="B2557" s="631"/>
      <c r="C2557" s="631"/>
      <c r="D2557" s="832"/>
      <c r="E2557" s="631"/>
      <c r="F2557" s="631"/>
      <c r="G2557" s="631"/>
      <c r="H2557" s="833"/>
      <c r="I2557" s="834"/>
      <c r="J2557" s="834"/>
      <c r="K2557" s="835"/>
      <c r="L2557" s="835"/>
      <c r="M2557" s="835"/>
      <c r="N2557" s="835"/>
      <c r="O2557" s="835"/>
      <c r="P2557" s="835"/>
      <c r="Q2557" s="540"/>
      <c r="R2557" s="540"/>
      <c r="S2557" s="540"/>
      <c r="T2557" s="540"/>
      <c r="U2557" s="540"/>
      <c r="V2557" s="540"/>
      <c r="W2557" s="540"/>
      <c r="X2557" s="540"/>
      <c r="Y2557" s="540"/>
      <c r="Z2557" s="540"/>
    </row>
    <row r="2558" spans="1:26" ht="19">
      <c r="A2558" s="631"/>
      <c r="B2558" s="631"/>
      <c r="C2558" s="631"/>
      <c r="D2558" s="832"/>
      <c r="E2558" s="631"/>
      <c r="F2558" s="631"/>
      <c r="G2558" s="631"/>
      <c r="H2558" s="833"/>
      <c r="I2558" s="834"/>
      <c r="J2558" s="834"/>
      <c r="K2558" s="835"/>
      <c r="L2558" s="835"/>
      <c r="M2558" s="835"/>
      <c r="N2558" s="835"/>
      <c r="O2558" s="835"/>
      <c r="P2558" s="835"/>
      <c r="Q2558" s="540"/>
      <c r="R2558" s="540"/>
      <c r="S2558" s="540"/>
      <c r="T2558" s="540"/>
      <c r="U2558" s="540"/>
      <c r="V2558" s="540"/>
      <c r="W2558" s="540"/>
      <c r="X2558" s="540"/>
      <c r="Y2558" s="540"/>
      <c r="Z2558" s="540"/>
    </row>
    <row r="2559" spans="1:26" ht="19">
      <c r="A2559" s="631"/>
      <c r="B2559" s="631"/>
      <c r="C2559" s="631"/>
      <c r="D2559" s="832"/>
      <c r="E2559" s="631"/>
      <c r="F2559" s="631"/>
      <c r="G2559" s="631"/>
      <c r="H2559" s="833"/>
      <c r="I2559" s="834"/>
      <c r="J2559" s="834"/>
      <c r="K2559" s="835"/>
      <c r="L2559" s="835"/>
      <c r="M2559" s="835"/>
      <c r="N2559" s="835"/>
      <c r="O2559" s="835"/>
      <c r="P2559" s="835"/>
      <c r="Q2559" s="540"/>
      <c r="R2559" s="540"/>
      <c r="S2559" s="540"/>
      <c r="T2559" s="540"/>
      <c r="U2559" s="540"/>
      <c r="V2559" s="540"/>
      <c r="W2559" s="540"/>
      <c r="X2559" s="540"/>
      <c r="Y2559" s="540"/>
      <c r="Z2559" s="540"/>
    </row>
    <row r="2560" spans="1:26" ht="19">
      <c r="A2560" s="631"/>
      <c r="B2560" s="631"/>
      <c r="C2560" s="631"/>
      <c r="D2560" s="832"/>
      <c r="E2560" s="631"/>
      <c r="F2560" s="631"/>
      <c r="G2560" s="631"/>
      <c r="H2560" s="833"/>
      <c r="I2560" s="834"/>
      <c r="J2560" s="834"/>
      <c r="K2560" s="835"/>
      <c r="L2560" s="835"/>
      <c r="M2560" s="835"/>
      <c r="N2560" s="835"/>
      <c r="O2560" s="835"/>
      <c r="P2560" s="835"/>
      <c r="Q2560" s="540"/>
      <c r="R2560" s="540"/>
      <c r="S2560" s="540"/>
      <c r="T2560" s="540"/>
      <c r="U2560" s="540"/>
      <c r="V2560" s="540"/>
      <c r="W2560" s="540"/>
      <c r="X2560" s="540"/>
      <c r="Y2560" s="540"/>
      <c r="Z2560" s="540"/>
    </row>
    <row r="2561" spans="1:26" ht="19">
      <c r="A2561" s="631"/>
      <c r="B2561" s="631"/>
      <c r="C2561" s="631"/>
      <c r="D2561" s="832"/>
      <c r="E2561" s="631"/>
      <c r="F2561" s="631"/>
      <c r="G2561" s="631"/>
      <c r="H2561" s="833"/>
      <c r="I2561" s="834"/>
      <c r="J2561" s="834"/>
      <c r="K2561" s="835"/>
      <c r="L2561" s="835"/>
      <c r="M2561" s="835"/>
      <c r="N2561" s="835"/>
      <c r="O2561" s="835"/>
      <c r="P2561" s="835"/>
      <c r="Q2561" s="540"/>
      <c r="R2561" s="540"/>
      <c r="S2561" s="540"/>
      <c r="T2561" s="540"/>
      <c r="U2561" s="540"/>
      <c r="V2561" s="540"/>
      <c r="W2561" s="540"/>
      <c r="X2561" s="540"/>
      <c r="Y2561" s="540"/>
      <c r="Z2561" s="540"/>
    </row>
    <row r="2562" spans="1:26" ht="19">
      <c r="A2562" s="631"/>
      <c r="B2562" s="631"/>
      <c r="C2562" s="631"/>
      <c r="D2562" s="832"/>
      <c r="E2562" s="631"/>
      <c r="F2562" s="631"/>
      <c r="G2562" s="631"/>
      <c r="H2562" s="833"/>
      <c r="I2562" s="834"/>
      <c r="J2562" s="834"/>
      <c r="K2562" s="835"/>
      <c r="L2562" s="835"/>
      <c r="M2562" s="835"/>
      <c r="N2562" s="835"/>
      <c r="O2562" s="835"/>
      <c r="P2562" s="835"/>
      <c r="Q2562" s="540"/>
      <c r="R2562" s="540"/>
      <c r="S2562" s="540"/>
      <c r="T2562" s="540"/>
      <c r="U2562" s="540"/>
      <c r="V2562" s="540"/>
      <c r="W2562" s="540"/>
      <c r="X2562" s="540"/>
      <c r="Y2562" s="540"/>
      <c r="Z2562" s="540"/>
    </row>
    <row r="2563" spans="1:26" ht="19">
      <c r="A2563" s="631"/>
      <c r="B2563" s="631"/>
      <c r="C2563" s="631"/>
      <c r="D2563" s="832"/>
      <c r="E2563" s="631"/>
      <c r="F2563" s="631"/>
      <c r="G2563" s="631"/>
      <c r="H2563" s="833"/>
      <c r="I2563" s="834"/>
      <c r="J2563" s="834"/>
      <c r="K2563" s="835"/>
      <c r="L2563" s="835"/>
      <c r="M2563" s="835"/>
      <c r="N2563" s="835"/>
      <c r="O2563" s="835"/>
      <c r="P2563" s="835"/>
      <c r="Q2563" s="540"/>
      <c r="R2563" s="540"/>
      <c r="S2563" s="540"/>
      <c r="T2563" s="540"/>
      <c r="U2563" s="540"/>
      <c r="V2563" s="540"/>
      <c r="W2563" s="540"/>
      <c r="X2563" s="540"/>
      <c r="Y2563" s="540"/>
      <c r="Z2563" s="540"/>
    </row>
    <row r="2564" spans="1:26" ht="19">
      <c r="A2564" s="631"/>
      <c r="B2564" s="631"/>
      <c r="C2564" s="631"/>
      <c r="D2564" s="832"/>
      <c r="E2564" s="631"/>
      <c r="F2564" s="631"/>
      <c r="G2564" s="631"/>
      <c r="H2564" s="833"/>
      <c r="I2564" s="834"/>
      <c r="J2564" s="834"/>
      <c r="K2564" s="835"/>
      <c r="L2564" s="835"/>
      <c r="M2564" s="835"/>
      <c r="N2564" s="835"/>
      <c r="O2564" s="835"/>
      <c r="P2564" s="835"/>
      <c r="Q2564" s="540"/>
      <c r="R2564" s="540"/>
      <c r="S2564" s="540"/>
      <c r="T2564" s="540"/>
      <c r="U2564" s="540"/>
      <c r="V2564" s="540"/>
      <c r="W2564" s="540"/>
      <c r="X2564" s="540"/>
      <c r="Y2564" s="540"/>
      <c r="Z2564" s="540"/>
    </row>
    <row r="2565" spans="1:26" ht="19">
      <c r="A2565" s="631"/>
      <c r="B2565" s="631"/>
      <c r="C2565" s="631"/>
      <c r="D2565" s="832"/>
      <c r="E2565" s="631"/>
      <c r="F2565" s="631"/>
      <c r="G2565" s="631"/>
      <c r="H2565" s="833"/>
      <c r="I2565" s="834"/>
      <c r="J2565" s="834"/>
      <c r="K2565" s="835"/>
      <c r="L2565" s="835"/>
      <c r="M2565" s="835"/>
      <c r="N2565" s="835"/>
      <c r="O2565" s="835"/>
      <c r="P2565" s="835"/>
      <c r="Q2565" s="540"/>
      <c r="R2565" s="540"/>
      <c r="S2565" s="540"/>
      <c r="T2565" s="540"/>
      <c r="U2565" s="540"/>
      <c r="V2565" s="540"/>
      <c r="W2565" s="540"/>
      <c r="X2565" s="540"/>
      <c r="Y2565" s="540"/>
      <c r="Z2565" s="540"/>
    </row>
    <row r="2566" spans="1:26" ht="19">
      <c r="A2566" s="631"/>
      <c r="B2566" s="631"/>
      <c r="C2566" s="631"/>
      <c r="D2566" s="832"/>
      <c r="E2566" s="631"/>
      <c r="F2566" s="631"/>
      <c r="G2566" s="631"/>
      <c r="H2566" s="833"/>
      <c r="I2566" s="834"/>
      <c r="J2566" s="834"/>
      <c r="K2566" s="835"/>
      <c r="L2566" s="835"/>
      <c r="M2566" s="835"/>
      <c r="N2566" s="835"/>
      <c r="O2566" s="835"/>
      <c r="P2566" s="835"/>
      <c r="Q2566" s="540"/>
      <c r="R2566" s="540"/>
      <c r="S2566" s="540"/>
      <c r="T2566" s="540"/>
      <c r="U2566" s="540"/>
      <c r="V2566" s="540"/>
      <c r="W2566" s="540"/>
      <c r="X2566" s="540"/>
      <c r="Y2566" s="540"/>
      <c r="Z2566" s="540"/>
    </row>
    <row r="2567" spans="1:26" ht="19">
      <c r="A2567" s="631"/>
      <c r="B2567" s="631"/>
      <c r="C2567" s="631"/>
      <c r="D2567" s="832"/>
      <c r="E2567" s="631"/>
      <c r="F2567" s="631"/>
      <c r="G2567" s="631"/>
      <c r="H2567" s="833"/>
      <c r="I2567" s="834"/>
      <c r="J2567" s="834"/>
      <c r="K2567" s="835"/>
      <c r="L2567" s="835"/>
      <c r="M2567" s="835"/>
      <c r="N2567" s="835"/>
      <c r="O2567" s="835"/>
      <c r="P2567" s="835"/>
      <c r="Q2567" s="540"/>
      <c r="R2567" s="540"/>
      <c r="S2567" s="540"/>
      <c r="T2567" s="540"/>
      <c r="U2567" s="540"/>
      <c r="V2567" s="540"/>
      <c r="W2567" s="540"/>
      <c r="X2567" s="540"/>
      <c r="Y2567" s="540"/>
      <c r="Z2567" s="540"/>
    </row>
    <row r="2568" spans="1:26" ht="19">
      <c r="A2568" s="631"/>
      <c r="B2568" s="631"/>
      <c r="C2568" s="631"/>
      <c r="D2568" s="832"/>
      <c r="E2568" s="631"/>
      <c r="F2568" s="631"/>
      <c r="G2568" s="631"/>
      <c r="H2568" s="833"/>
      <c r="I2568" s="834"/>
      <c r="J2568" s="834"/>
      <c r="K2568" s="835"/>
      <c r="L2568" s="835"/>
      <c r="M2568" s="835"/>
      <c r="N2568" s="835"/>
      <c r="O2568" s="835"/>
      <c r="P2568" s="835"/>
      <c r="Q2568" s="540"/>
      <c r="R2568" s="540"/>
      <c r="S2568" s="540"/>
      <c r="T2568" s="540"/>
      <c r="U2568" s="540"/>
      <c r="V2568" s="540"/>
      <c r="W2568" s="540"/>
      <c r="X2568" s="540"/>
      <c r="Y2568" s="540"/>
      <c r="Z2568" s="540"/>
    </row>
    <row r="2569" spans="1:26" ht="19">
      <c r="A2569" s="631"/>
      <c r="B2569" s="631"/>
      <c r="C2569" s="631"/>
      <c r="D2569" s="832"/>
      <c r="E2569" s="631"/>
      <c r="F2569" s="631"/>
      <c r="G2569" s="631"/>
      <c r="H2569" s="833"/>
      <c r="I2569" s="834"/>
      <c r="J2569" s="834"/>
      <c r="K2569" s="835"/>
      <c r="L2569" s="835"/>
      <c r="M2569" s="835"/>
      <c r="N2569" s="835"/>
      <c r="O2569" s="835"/>
      <c r="P2569" s="835"/>
      <c r="Q2569" s="540"/>
      <c r="R2569" s="540"/>
      <c r="S2569" s="540"/>
      <c r="T2569" s="540"/>
      <c r="U2569" s="540"/>
      <c r="V2569" s="540"/>
      <c r="W2569" s="540"/>
      <c r="X2569" s="540"/>
      <c r="Y2569" s="540"/>
      <c r="Z2569" s="540"/>
    </row>
    <row r="2570" spans="1:26" ht="19">
      <c r="A2570" s="631"/>
      <c r="B2570" s="631"/>
      <c r="C2570" s="631"/>
      <c r="D2570" s="832"/>
      <c r="E2570" s="631"/>
      <c r="F2570" s="631"/>
      <c r="G2570" s="631"/>
      <c r="H2570" s="833"/>
      <c r="I2570" s="834"/>
      <c r="J2570" s="834"/>
      <c r="K2570" s="835"/>
      <c r="L2570" s="835"/>
      <c r="M2570" s="835"/>
      <c r="N2570" s="835"/>
      <c r="O2570" s="835"/>
      <c r="P2570" s="835"/>
      <c r="Q2570" s="540"/>
      <c r="R2570" s="540"/>
      <c r="S2570" s="540"/>
      <c r="T2570" s="540"/>
      <c r="U2570" s="540"/>
      <c r="V2570" s="540"/>
      <c r="W2570" s="540"/>
      <c r="X2570" s="540"/>
      <c r="Y2570" s="540"/>
      <c r="Z2570" s="540"/>
    </row>
    <row r="2571" spans="1:26" ht="19">
      <c r="A2571" s="631"/>
      <c r="B2571" s="631"/>
      <c r="C2571" s="631"/>
      <c r="D2571" s="832"/>
      <c r="E2571" s="631"/>
      <c r="F2571" s="631"/>
      <c r="G2571" s="631"/>
      <c r="H2571" s="833"/>
      <c r="I2571" s="834"/>
      <c r="J2571" s="834"/>
      <c r="K2571" s="835"/>
      <c r="L2571" s="835"/>
      <c r="M2571" s="835"/>
      <c r="N2571" s="835"/>
      <c r="O2571" s="835"/>
      <c r="P2571" s="835"/>
      <c r="Q2571" s="540"/>
      <c r="R2571" s="540"/>
      <c r="S2571" s="540"/>
      <c r="T2571" s="540"/>
      <c r="U2571" s="540"/>
      <c r="V2571" s="540"/>
      <c r="W2571" s="540"/>
      <c r="X2571" s="540"/>
      <c r="Y2571" s="540"/>
      <c r="Z2571" s="540"/>
    </row>
    <row r="2572" spans="1:26" ht="19">
      <c r="A2572" s="631"/>
      <c r="B2572" s="631"/>
      <c r="C2572" s="631"/>
      <c r="D2572" s="832"/>
      <c r="E2572" s="631"/>
      <c r="F2572" s="631"/>
      <c r="G2572" s="631"/>
      <c r="H2572" s="833"/>
      <c r="I2572" s="834"/>
      <c r="J2572" s="834"/>
      <c r="K2572" s="835"/>
      <c r="L2572" s="835"/>
      <c r="M2572" s="835"/>
      <c r="N2572" s="835"/>
      <c r="O2572" s="835"/>
      <c r="P2572" s="835"/>
      <c r="Q2572" s="540"/>
      <c r="R2572" s="540"/>
      <c r="S2572" s="540"/>
      <c r="T2572" s="540"/>
      <c r="U2572" s="540"/>
      <c r="V2572" s="540"/>
      <c r="W2572" s="540"/>
      <c r="X2572" s="540"/>
      <c r="Y2572" s="540"/>
      <c r="Z2572" s="540"/>
    </row>
    <row r="2573" spans="1:26" ht="19">
      <c r="A2573" s="631"/>
      <c r="B2573" s="631"/>
      <c r="C2573" s="631"/>
      <c r="D2573" s="832"/>
      <c r="E2573" s="631"/>
      <c r="F2573" s="631"/>
      <c r="G2573" s="631"/>
      <c r="H2573" s="833"/>
      <c r="I2573" s="834"/>
      <c r="J2573" s="834"/>
      <c r="K2573" s="835"/>
      <c r="L2573" s="835"/>
      <c r="M2573" s="835"/>
      <c r="N2573" s="835"/>
      <c r="O2573" s="835"/>
      <c r="P2573" s="835"/>
      <c r="Q2573" s="540"/>
      <c r="R2573" s="540"/>
      <c r="S2573" s="540"/>
      <c r="T2573" s="540"/>
      <c r="U2573" s="540"/>
      <c r="V2573" s="540"/>
      <c r="W2573" s="540"/>
      <c r="X2573" s="540"/>
      <c r="Y2573" s="540"/>
      <c r="Z2573" s="540"/>
    </row>
    <row r="2574" spans="1:26" ht="19">
      <c r="A2574" s="631"/>
      <c r="B2574" s="631"/>
      <c r="C2574" s="631"/>
      <c r="D2574" s="832"/>
      <c r="E2574" s="631"/>
      <c r="F2574" s="631"/>
      <c r="G2574" s="631"/>
      <c r="H2574" s="833"/>
      <c r="I2574" s="834"/>
      <c r="J2574" s="834"/>
      <c r="K2574" s="835"/>
      <c r="L2574" s="835"/>
      <c r="M2574" s="835"/>
      <c r="N2574" s="835"/>
      <c r="O2574" s="835"/>
      <c r="P2574" s="835"/>
      <c r="Q2574" s="540"/>
      <c r="R2574" s="540"/>
      <c r="S2574" s="540"/>
      <c r="T2574" s="540"/>
      <c r="U2574" s="540"/>
      <c r="V2574" s="540"/>
      <c r="W2574" s="540"/>
      <c r="X2574" s="540"/>
      <c r="Y2574" s="540"/>
      <c r="Z2574" s="540"/>
    </row>
    <row r="2575" spans="1:26" ht="19">
      <c r="A2575" s="631"/>
      <c r="B2575" s="631"/>
      <c r="C2575" s="631"/>
      <c r="D2575" s="832"/>
      <c r="E2575" s="631"/>
      <c r="F2575" s="631"/>
      <c r="G2575" s="631"/>
      <c r="H2575" s="833"/>
      <c r="I2575" s="834"/>
      <c r="J2575" s="834"/>
      <c r="K2575" s="835"/>
      <c r="L2575" s="835"/>
      <c r="M2575" s="835"/>
      <c r="N2575" s="835"/>
      <c r="O2575" s="835"/>
      <c r="P2575" s="835"/>
      <c r="Q2575" s="540"/>
      <c r="R2575" s="540"/>
      <c r="S2575" s="540"/>
      <c r="T2575" s="540"/>
      <c r="U2575" s="540"/>
      <c r="V2575" s="540"/>
      <c r="W2575" s="540"/>
      <c r="X2575" s="540"/>
      <c r="Y2575" s="540"/>
      <c r="Z2575" s="540"/>
    </row>
    <row r="2576" spans="1:26" ht="19">
      <c r="A2576" s="631"/>
      <c r="B2576" s="631"/>
      <c r="C2576" s="631"/>
      <c r="D2576" s="832"/>
      <c r="E2576" s="631"/>
      <c r="F2576" s="631"/>
      <c r="G2576" s="631"/>
      <c r="H2576" s="833"/>
      <c r="I2576" s="834"/>
      <c r="J2576" s="834"/>
      <c r="K2576" s="835"/>
      <c r="L2576" s="835"/>
      <c r="M2576" s="835"/>
      <c r="N2576" s="835"/>
      <c r="O2576" s="835"/>
      <c r="P2576" s="835"/>
      <c r="Q2576" s="540"/>
      <c r="R2576" s="540"/>
      <c r="S2576" s="540"/>
      <c r="T2576" s="540"/>
      <c r="U2576" s="540"/>
      <c r="V2576" s="540"/>
      <c r="W2576" s="540"/>
      <c r="X2576" s="540"/>
      <c r="Y2576" s="540"/>
      <c r="Z2576" s="540"/>
    </row>
    <row r="2577" spans="1:26" ht="19">
      <c r="A2577" s="631"/>
      <c r="B2577" s="631"/>
      <c r="C2577" s="631"/>
      <c r="D2577" s="832"/>
      <c r="E2577" s="631"/>
      <c r="F2577" s="631"/>
      <c r="G2577" s="631"/>
      <c r="H2577" s="833"/>
      <c r="I2577" s="834"/>
      <c r="J2577" s="834"/>
      <c r="K2577" s="835"/>
      <c r="L2577" s="835"/>
      <c r="M2577" s="835"/>
      <c r="N2577" s="835"/>
      <c r="O2577" s="835"/>
      <c r="P2577" s="835"/>
      <c r="Q2577" s="540"/>
      <c r="R2577" s="540"/>
      <c r="S2577" s="540"/>
      <c r="T2577" s="540"/>
      <c r="U2577" s="540"/>
      <c r="V2577" s="540"/>
      <c r="W2577" s="540"/>
      <c r="X2577" s="540"/>
      <c r="Y2577" s="540"/>
      <c r="Z2577" s="540"/>
    </row>
    <row r="2578" spans="1:26" ht="19">
      <c r="A2578" s="631"/>
      <c r="B2578" s="631"/>
      <c r="C2578" s="631"/>
      <c r="D2578" s="832"/>
      <c r="E2578" s="631"/>
      <c r="F2578" s="631"/>
      <c r="G2578" s="631"/>
      <c r="H2578" s="833"/>
      <c r="I2578" s="834"/>
      <c r="J2578" s="834"/>
      <c r="K2578" s="835"/>
      <c r="L2578" s="835"/>
      <c r="M2578" s="835"/>
      <c r="N2578" s="835"/>
      <c r="O2578" s="835"/>
      <c r="P2578" s="835"/>
      <c r="Q2578" s="540"/>
      <c r="R2578" s="540"/>
      <c r="S2578" s="540"/>
      <c r="T2578" s="540"/>
      <c r="U2578" s="540"/>
      <c r="V2578" s="540"/>
      <c r="W2578" s="540"/>
      <c r="X2578" s="540"/>
      <c r="Y2578" s="540"/>
      <c r="Z2578" s="540"/>
    </row>
    <row r="2579" spans="1:26" ht="19">
      <c r="A2579" s="631"/>
      <c r="B2579" s="631"/>
      <c r="C2579" s="631"/>
      <c r="D2579" s="832"/>
      <c r="E2579" s="631"/>
      <c r="F2579" s="631"/>
      <c r="G2579" s="631"/>
      <c r="H2579" s="833"/>
      <c r="I2579" s="834"/>
      <c r="J2579" s="834"/>
      <c r="K2579" s="835"/>
      <c r="L2579" s="835"/>
      <c r="M2579" s="835"/>
      <c r="N2579" s="835"/>
      <c r="O2579" s="835"/>
      <c r="P2579" s="835"/>
      <c r="Q2579" s="540"/>
      <c r="R2579" s="540"/>
      <c r="S2579" s="540"/>
      <c r="T2579" s="540"/>
      <c r="U2579" s="540"/>
      <c r="V2579" s="540"/>
      <c r="W2579" s="540"/>
      <c r="X2579" s="540"/>
      <c r="Y2579" s="540"/>
      <c r="Z2579" s="540"/>
    </row>
    <row r="2580" spans="1:26" ht="19">
      <c r="A2580" s="631"/>
      <c r="B2580" s="631"/>
      <c r="C2580" s="631"/>
      <c r="D2580" s="832"/>
      <c r="E2580" s="631"/>
      <c r="F2580" s="631"/>
      <c r="G2580" s="631"/>
      <c r="H2580" s="833"/>
      <c r="I2580" s="834"/>
      <c r="J2580" s="834"/>
      <c r="K2580" s="835"/>
      <c r="L2580" s="835"/>
      <c r="M2580" s="835"/>
      <c r="N2580" s="835"/>
      <c r="O2580" s="835"/>
      <c r="P2580" s="835"/>
      <c r="Q2580" s="540"/>
      <c r="R2580" s="540"/>
      <c r="S2580" s="540"/>
      <c r="T2580" s="540"/>
      <c r="U2580" s="540"/>
      <c r="V2580" s="540"/>
      <c r="W2580" s="540"/>
      <c r="X2580" s="540"/>
      <c r="Y2580" s="540"/>
      <c r="Z2580" s="540"/>
    </row>
    <row r="2581" spans="1:26" ht="19">
      <c r="A2581" s="631"/>
      <c r="B2581" s="631"/>
      <c r="C2581" s="631"/>
      <c r="D2581" s="832"/>
      <c r="E2581" s="631"/>
      <c r="F2581" s="631"/>
      <c r="G2581" s="631"/>
      <c r="H2581" s="833"/>
      <c r="I2581" s="834"/>
      <c r="J2581" s="834"/>
      <c r="K2581" s="835"/>
      <c r="L2581" s="835"/>
      <c r="M2581" s="835"/>
      <c r="N2581" s="835"/>
      <c r="O2581" s="835"/>
      <c r="P2581" s="835"/>
      <c r="Q2581" s="540"/>
      <c r="R2581" s="540"/>
      <c r="S2581" s="540"/>
      <c r="T2581" s="540"/>
      <c r="U2581" s="540"/>
      <c r="V2581" s="540"/>
      <c r="W2581" s="540"/>
      <c r="X2581" s="540"/>
      <c r="Y2581" s="540"/>
      <c r="Z2581" s="540"/>
    </row>
    <row r="2582" spans="1:26" ht="19">
      <c r="A2582" s="631"/>
      <c r="B2582" s="631"/>
      <c r="C2582" s="631"/>
      <c r="D2582" s="832"/>
      <c r="E2582" s="631"/>
      <c r="F2582" s="631"/>
      <c r="G2582" s="631"/>
      <c r="H2582" s="833"/>
      <c r="I2582" s="834"/>
      <c r="J2582" s="834"/>
      <c r="K2582" s="835"/>
      <c r="L2582" s="835"/>
      <c r="M2582" s="835"/>
      <c r="N2582" s="835"/>
      <c r="O2582" s="835"/>
      <c r="P2582" s="835"/>
      <c r="Q2582" s="540"/>
      <c r="R2582" s="540"/>
      <c r="S2582" s="540"/>
      <c r="T2582" s="540"/>
      <c r="U2582" s="540"/>
      <c r="V2582" s="540"/>
      <c r="W2582" s="540"/>
      <c r="X2582" s="540"/>
      <c r="Y2582" s="540"/>
      <c r="Z2582" s="540"/>
    </row>
    <row r="2583" spans="1:26" ht="19">
      <c r="A2583" s="631"/>
      <c r="B2583" s="631"/>
      <c r="C2583" s="631"/>
      <c r="D2583" s="832"/>
      <c r="E2583" s="631"/>
      <c r="F2583" s="631"/>
      <c r="G2583" s="631"/>
      <c r="H2583" s="833"/>
      <c r="I2583" s="834"/>
      <c r="J2583" s="834"/>
      <c r="K2583" s="835"/>
      <c r="L2583" s="835"/>
      <c r="M2583" s="835"/>
      <c r="N2583" s="835"/>
      <c r="O2583" s="835"/>
      <c r="P2583" s="835"/>
      <c r="Q2583" s="540"/>
      <c r="R2583" s="540"/>
      <c r="S2583" s="540"/>
      <c r="T2583" s="540"/>
      <c r="U2583" s="540"/>
      <c r="V2583" s="540"/>
      <c r="W2583" s="540"/>
      <c r="X2583" s="540"/>
      <c r="Y2583" s="540"/>
      <c r="Z2583" s="540"/>
    </row>
    <row r="2584" spans="1:26" ht="19">
      <c r="A2584" s="631"/>
      <c r="B2584" s="631"/>
      <c r="C2584" s="631"/>
      <c r="D2584" s="832"/>
      <c r="E2584" s="631"/>
      <c r="F2584" s="631"/>
      <c r="G2584" s="631"/>
      <c r="H2584" s="833"/>
      <c r="I2584" s="834"/>
      <c r="J2584" s="834"/>
      <c r="K2584" s="835"/>
      <c r="L2584" s="835"/>
      <c r="M2584" s="835"/>
      <c r="N2584" s="835"/>
      <c r="O2584" s="835"/>
      <c r="P2584" s="835"/>
      <c r="Q2584" s="540"/>
      <c r="R2584" s="540"/>
      <c r="S2584" s="540"/>
      <c r="T2584" s="540"/>
      <c r="U2584" s="540"/>
      <c r="V2584" s="540"/>
      <c r="W2584" s="540"/>
      <c r="X2584" s="540"/>
      <c r="Y2584" s="540"/>
      <c r="Z2584" s="540"/>
    </row>
    <row r="2585" spans="1:26" ht="19">
      <c r="A2585" s="631"/>
      <c r="B2585" s="631"/>
      <c r="C2585" s="631"/>
      <c r="D2585" s="832"/>
      <c r="E2585" s="631"/>
      <c r="F2585" s="631"/>
      <c r="G2585" s="631"/>
      <c r="H2585" s="833"/>
      <c r="I2585" s="834"/>
      <c r="J2585" s="834"/>
      <c r="K2585" s="835"/>
      <c r="L2585" s="835"/>
      <c r="M2585" s="835"/>
      <c r="N2585" s="835"/>
      <c r="O2585" s="835"/>
      <c r="P2585" s="835"/>
      <c r="Q2585" s="540"/>
      <c r="R2585" s="540"/>
      <c r="S2585" s="540"/>
      <c r="T2585" s="540"/>
      <c r="U2585" s="540"/>
      <c r="V2585" s="540"/>
      <c r="W2585" s="540"/>
      <c r="X2585" s="540"/>
      <c r="Y2585" s="540"/>
      <c r="Z2585" s="540"/>
    </row>
    <row r="2586" spans="1:26" ht="19">
      <c r="A2586" s="631"/>
      <c r="B2586" s="631"/>
      <c r="C2586" s="631"/>
      <c r="D2586" s="832"/>
      <c r="E2586" s="631"/>
      <c r="F2586" s="631"/>
      <c r="G2586" s="631"/>
      <c r="H2586" s="833"/>
      <c r="I2586" s="834"/>
      <c r="J2586" s="834"/>
      <c r="K2586" s="835"/>
      <c r="L2586" s="835"/>
      <c r="M2586" s="835"/>
      <c r="N2586" s="835"/>
      <c r="O2586" s="835"/>
      <c r="P2586" s="835"/>
      <c r="Q2586" s="540"/>
      <c r="R2586" s="540"/>
      <c r="S2586" s="540"/>
      <c r="T2586" s="540"/>
      <c r="U2586" s="540"/>
      <c r="V2586" s="540"/>
      <c r="W2586" s="540"/>
      <c r="X2586" s="540"/>
      <c r="Y2586" s="540"/>
      <c r="Z2586" s="540"/>
    </row>
    <row r="2587" spans="1:26" ht="19">
      <c r="A2587" s="631"/>
      <c r="B2587" s="631"/>
      <c r="C2587" s="631"/>
      <c r="D2587" s="832"/>
      <c r="E2587" s="631"/>
      <c r="F2587" s="631"/>
      <c r="G2587" s="631"/>
      <c r="H2587" s="833"/>
      <c r="I2587" s="834"/>
      <c r="J2587" s="834"/>
      <c r="K2587" s="835"/>
      <c r="L2587" s="835"/>
      <c r="M2587" s="835"/>
      <c r="N2587" s="835"/>
      <c r="O2587" s="835"/>
      <c r="P2587" s="835"/>
      <c r="Q2587" s="540"/>
      <c r="R2587" s="540"/>
      <c r="S2587" s="540"/>
      <c r="T2587" s="540"/>
      <c r="U2587" s="540"/>
      <c r="V2587" s="540"/>
      <c r="W2587" s="540"/>
      <c r="X2587" s="540"/>
      <c r="Y2587" s="540"/>
      <c r="Z2587" s="540"/>
    </row>
    <row r="2588" spans="1:26" ht="19">
      <c r="A2588" s="631"/>
      <c r="B2588" s="631"/>
      <c r="C2588" s="631"/>
      <c r="D2588" s="832"/>
      <c r="E2588" s="631"/>
      <c r="F2588" s="631"/>
      <c r="G2588" s="631"/>
      <c r="H2588" s="833"/>
      <c r="I2588" s="834"/>
      <c r="J2588" s="834"/>
      <c r="K2588" s="835"/>
      <c r="L2588" s="835"/>
      <c r="M2588" s="835"/>
      <c r="N2588" s="835"/>
      <c r="O2588" s="835"/>
      <c r="P2588" s="835"/>
      <c r="Q2588" s="540"/>
      <c r="R2588" s="540"/>
      <c r="S2588" s="540"/>
      <c r="T2588" s="540"/>
      <c r="U2588" s="540"/>
      <c r="V2588" s="540"/>
      <c r="W2588" s="540"/>
      <c r="X2588" s="540"/>
      <c r="Y2588" s="540"/>
      <c r="Z2588" s="540"/>
    </row>
    <row r="2589" spans="1:26" ht="19">
      <c r="A2589" s="631"/>
      <c r="B2589" s="631"/>
      <c r="C2589" s="631"/>
      <c r="D2589" s="832"/>
      <c r="E2589" s="631"/>
      <c r="F2589" s="631"/>
      <c r="G2589" s="631"/>
      <c r="H2589" s="833"/>
      <c r="I2589" s="834"/>
      <c r="J2589" s="834"/>
      <c r="K2589" s="835"/>
      <c r="L2589" s="835"/>
      <c r="M2589" s="835"/>
      <c r="N2589" s="835"/>
      <c r="O2589" s="835"/>
      <c r="P2589" s="835"/>
      <c r="Q2589" s="540"/>
      <c r="R2589" s="540"/>
      <c r="S2589" s="540"/>
      <c r="T2589" s="540"/>
      <c r="U2589" s="540"/>
      <c r="V2589" s="540"/>
      <c r="W2589" s="540"/>
      <c r="X2589" s="540"/>
      <c r="Y2589" s="540"/>
      <c r="Z2589" s="540"/>
    </row>
    <row r="2590" spans="1:26" ht="19">
      <c r="A2590" s="631"/>
      <c r="B2590" s="631"/>
      <c r="C2590" s="631"/>
      <c r="D2590" s="832"/>
      <c r="E2590" s="631"/>
      <c r="F2590" s="631"/>
      <c r="G2590" s="631"/>
      <c r="H2590" s="833"/>
      <c r="I2590" s="834"/>
      <c r="J2590" s="834"/>
      <c r="K2590" s="835"/>
      <c r="L2590" s="835"/>
      <c r="M2590" s="835"/>
      <c r="N2590" s="835"/>
      <c r="O2590" s="835"/>
      <c r="P2590" s="835"/>
      <c r="Q2590" s="540"/>
      <c r="R2590" s="540"/>
      <c r="S2590" s="540"/>
      <c r="T2590" s="540"/>
      <c r="U2590" s="540"/>
      <c r="V2590" s="540"/>
      <c r="W2590" s="540"/>
      <c r="X2590" s="540"/>
      <c r="Y2590" s="540"/>
      <c r="Z2590" s="540"/>
    </row>
    <row r="2591" spans="1:26" ht="19">
      <c r="A2591" s="631"/>
      <c r="B2591" s="631"/>
      <c r="C2591" s="631"/>
      <c r="D2591" s="832"/>
      <c r="E2591" s="631"/>
      <c r="F2591" s="631"/>
      <c r="G2591" s="631"/>
      <c r="H2591" s="833"/>
      <c r="I2591" s="834"/>
      <c r="J2591" s="834"/>
      <c r="K2591" s="835"/>
      <c r="L2591" s="835"/>
      <c r="M2591" s="835"/>
      <c r="N2591" s="835"/>
      <c r="O2591" s="835"/>
      <c r="P2591" s="835"/>
      <c r="Q2591" s="540"/>
      <c r="R2591" s="540"/>
      <c r="S2591" s="540"/>
      <c r="T2591" s="540"/>
      <c r="U2591" s="540"/>
      <c r="V2591" s="540"/>
      <c r="W2591" s="540"/>
      <c r="X2591" s="540"/>
      <c r="Y2591" s="540"/>
      <c r="Z2591" s="540"/>
    </row>
    <row r="2592" spans="1:26" ht="19">
      <c r="A2592" s="631"/>
      <c r="B2592" s="631"/>
      <c r="C2592" s="631"/>
      <c r="D2592" s="832"/>
      <c r="E2592" s="631"/>
      <c r="F2592" s="631"/>
      <c r="G2592" s="631"/>
      <c r="H2592" s="833"/>
      <c r="I2592" s="834"/>
      <c r="J2592" s="834"/>
      <c r="K2592" s="835"/>
      <c r="L2592" s="835"/>
      <c r="M2592" s="835"/>
      <c r="N2592" s="835"/>
      <c r="O2592" s="835"/>
      <c r="P2592" s="835"/>
      <c r="Q2592" s="540"/>
      <c r="R2592" s="540"/>
      <c r="S2592" s="540"/>
      <c r="T2592" s="540"/>
      <c r="U2592" s="540"/>
      <c r="V2592" s="540"/>
      <c r="W2592" s="540"/>
      <c r="X2592" s="540"/>
      <c r="Y2592" s="540"/>
      <c r="Z2592" s="540"/>
    </row>
    <row r="2593" spans="1:26" ht="19">
      <c r="A2593" s="631"/>
      <c r="B2593" s="631"/>
      <c r="C2593" s="631"/>
      <c r="D2593" s="832"/>
      <c r="E2593" s="631"/>
      <c r="F2593" s="631"/>
      <c r="G2593" s="631"/>
      <c r="H2593" s="833"/>
      <c r="I2593" s="834"/>
      <c r="J2593" s="834"/>
      <c r="K2593" s="835"/>
      <c r="L2593" s="835"/>
      <c r="M2593" s="835"/>
      <c r="N2593" s="835"/>
      <c r="O2593" s="835"/>
      <c r="P2593" s="835"/>
      <c r="Q2593" s="540"/>
      <c r="R2593" s="540"/>
      <c r="S2593" s="540"/>
      <c r="T2593" s="540"/>
      <c r="U2593" s="540"/>
      <c r="V2593" s="540"/>
      <c r="W2593" s="540"/>
      <c r="X2593" s="540"/>
      <c r="Y2593" s="540"/>
      <c r="Z2593" s="540"/>
    </row>
    <row r="2594" spans="1:26" ht="19">
      <c r="A2594" s="631"/>
      <c r="B2594" s="631"/>
      <c r="C2594" s="631"/>
      <c r="D2594" s="832"/>
      <c r="E2594" s="631"/>
      <c r="F2594" s="631"/>
      <c r="G2594" s="631"/>
      <c r="H2594" s="833"/>
      <c r="I2594" s="834"/>
      <c r="J2594" s="834"/>
      <c r="K2594" s="835"/>
      <c r="L2594" s="835"/>
      <c r="M2594" s="835"/>
      <c r="N2594" s="835"/>
      <c r="O2594" s="835"/>
      <c r="P2594" s="835"/>
      <c r="Q2594" s="540"/>
      <c r="R2594" s="540"/>
      <c r="S2594" s="540"/>
      <c r="T2594" s="540"/>
      <c r="U2594" s="540"/>
      <c r="V2594" s="540"/>
      <c r="W2594" s="540"/>
      <c r="X2594" s="540"/>
      <c r="Y2594" s="540"/>
      <c r="Z2594" s="540"/>
    </row>
    <row r="2595" spans="1:26" ht="19">
      <c r="A2595" s="631"/>
      <c r="B2595" s="631"/>
      <c r="C2595" s="631"/>
      <c r="D2595" s="832"/>
      <c r="E2595" s="631"/>
      <c r="F2595" s="631"/>
      <c r="G2595" s="631"/>
      <c r="H2595" s="833"/>
      <c r="I2595" s="834"/>
      <c r="J2595" s="834"/>
      <c r="K2595" s="835"/>
      <c r="L2595" s="835"/>
      <c r="M2595" s="835"/>
      <c r="N2595" s="835"/>
      <c r="O2595" s="835"/>
      <c r="P2595" s="835"/>
      <c r="Q2595" s="540"/>
      <c r="R2595" s="540"/>
      <c r="S2595" s="540"/>
      <c r="T2595" s="540"/>
      <c r="U2595" s="540"/>
      <c r="V2595" s="540"/>
      <c r="W2595" s="540"/>
      <c r="X2595" s="540"/>
      <c r="Y2595" s="540"/>
      <c r="Z2595" s="540"/>
    </row>
    <row r="2596" spans="1:26" ht="19">
      <c r="A2596" s="631"/>
      <c r="B2596" s="631"/>
      <c r="C2596" s="631"/>
      <c r="D2596" s="832"/>
      <c r="E2596" s="631"/>
      <c r="F2596" s="631"/>
      <c r="G2596" s="631"/>
      <c r="H2596" s="833"/>
      <c r="I2596" s="834"/>
      <c r="J2596" s="834"/>
      <c r="K2596" s="835"/>
      <c r="L2596" s="835"/>
      <c r="M2596" s="835"/>
      <c r="N2596" s="835"/>
      <c r="O2596" s="835"/>
      <c r="P2596" s="835"/>
      <c r="Q2596" s="540"/>
      <c r="R2596" s="540"/>
      <c r="S2596" s="540"/>
      <c r="T2596" s="540"/>
      <c r="U2596" s="540"/>
      <c r="V2596" s="540"/>
      <c r="W2596" s="540"/>
      <c r="X2596" s="540"/>
      <c r="Y2596" s="540"/>
      <c r="Z2596" s="540"/>
    </row>
    <row r="2597" spans="1:26" ht="19">
      <c r="A2597" s="631"/>
      <c r="B2597" s="631"/>
      <c r="C2597" s="631"/>
      <c r="D2597" s="832"/>
      <c r="E2597" s="631"/>
      <c r="F2597" s="631"/>
      <c r="G2597" s="631"/>
      <c r="H2597" s="833"/>
      <c r="I2597" s="834"/>
      <c r="J2597" s="834"/>
      <c r="K2597" s="835"/>
      <c r="L2597" s="835"/>
      <c r="M2597" s="835"/>
      <c r="N2597" s="835"/>
      <c r="O2597" s="835"/>
      <c r="P2597" s="835"/>
      <c r="Q2597" s="540"/>
      <c r="R2597" s="540"/>
      <c r="S2597" s="540"/>
      <c r="T2597" s="540"/>
      <c r="U2597" s="540"/>
      <c r="V2597" s="540"/>
      <c r="W2597" s="540"/>
      <c r="X2597" s="540"/>
      <c r="Y2597" s="540"/>
      <c r="Z2597" s="540"/>
    </row>
    <row r="2598" spans="1:26" ht="19">
      <c r="A2598" s="631"/>
      <c r="B2598" s="631"/>
      <c r="C2598" s="631"/>
      <c r="D2598" s="832"/>
      <c r="E2598" s="631"/>
      <c r="F2598" s="631"/>
      <c r="G2598" s="631"/>
      <c r="H2598" s="833"/>
      <c r="I2598" s="834"/>
      <c r="J2598" s="834"/>
      <c r="K2598" s="835"/>
      <c r="L2598" s="835"/>
      <c r="M2598" s="835"/>
      <c r="N2598" s="835"/>
      <c r="O2598" s="835"/>
      <c r="P2598" s="835"/>
      <c r="Q2598" s="540"/>
      <c r="R2598" s="540"/>
      <c r="S2598" s="540"/>
      <c r="T2598" s="540"/>
      <c r="U2598" s="540"/>
      <c r="V2598" s="540"/>
      <c r="W2598" s="540"/>
      <c r="X2598" s="540"/>
      <c r="Y2598" s="540"/>
      <c r="Z2598" s="540"/>
    </row>
    <row r="2599" spans="1:26" ht="19">
      <c r="A2599" s="631"/>
      <c r="B2599" s="631"/>
      <c r="C2599" s="631"/>
      <c r="D2599" s="832"/>
      <c r="E2599" s="631"/>
      <c r="F2599" s="631"/>
      <c r="G2599" s="631"/>
      <c r="H2599" s="833"/>
      <c r="I2599" s="834"/>
      <c r="J2599" s="834"/>
      <c r="K2599" s="835"/>
      <c r="L2599" s="835"/>
      <c r="M2599" s="835"/>
      <c r="N2599" s="835"/>
      <c r="O2599" s="835"/>
      <c r="P2599" s="835"/>
      <c r="Q2599" s="540"/>
      <c r="R2599" s="540"/>
      <c r="S2599" s="540"/>
      <c r="T2599" s="540"/>
      <c r="U2599" s="540"/>
      <c r="V2599" s="540"/>
      <c r="W2599" s="540"/>
      <c r="X2599" s="540"/>
      <c r="Y2599" s="540"/>
      <c r="Z2599" s="540"/>
    </row>
    <row r="2600" spans="1:26" ht="19">
      <c r="A2600" s="631"/>
      <c r="B2600" s="631"/>
      <c r="C2600" s="631"/>
      <c r="D2600" s="832"/>
      <c r="E2600" s="631"/>
      <c r="F2600" s="631"/>
      <c r="G2600" s="631"/>
      <c r="H2600" s="833"/>
      <c r="I2600" s="834"/>
      <c r="J2600" s="834"/>
      <c r="K2600" s="835"/>
      <c r="L2600" s="835"/>
      <c r="M2600" s="835"/>
      <c r="N2600" s="835"/>
      <c r="O2600" s="835"/>
      <c r="P2600" s="835"/>
      <c r="Q2600" s="540"/>
      <c r="R2600" s="540"/>
      <c r="S2600" s="540"/>
      <c r="T2600" s="540"/>
      <c r="U2600" s="540"/>
      <c r="V2600" s="540"/>
      <c r="W2600" s="540"/>
      <c r="X2600" s="540"/>
      <c r="Y2600" s="540"/>
      <c r="Z2600" s="540"/>
    </row>
    <row r="2601" spans="1:26" ht="19">
      <c r="A2601" s="631"/>
      <c r="B2601" s="631"/>
      <c r="C2601" s="631"/>
      <c r="D2601" s="832"/>
      <c r="E2601" s="631"/>
      <c r="F2601" s="631"/>
      <c r="G2601" s="631"/>
      <c r="H2601" s="833"/>
      <c r="I2601" s="834"/>
      <c r="J2601" s="834"/>
      <c r="K2601" s="835"/>
      <c r="L2601" s="835"/>
      <c r="M2601" s="835"/>
      <c r="N2601" s="835"/>
      <c r="O2601" s="835"/>
      <c r="P2601" s="835"/>
      <c r="Q2601" s="540"/>
      <c r="R2601" s="540"/>
      <c r="S2601" s="540"/>
      <c r="T2601" s="540"/>
      <c r="U2601" s="540"/>
      <c r="V2601" s="540"/>
      <c r="W2601" s="540"/>
      <c r="X2601" s="540"/>
      <c r="Y2601" s="540"/>
      <c r="Z2601" s="540"/>
    </row>
    <row r="2602" spans="1:26" ht="19">
      <c r="A2602" s="631"/>
      <c r="B2602" s="631"/>
      <c r="C2602" s="631"/>
      <c r="D2602" s="832"/>
      <c r="E2602" s="631"/>
      <c r="F2602" s="631"/>
      <c r="G2602" s="631"/>
      <c r="H2602" s="833"/>
      <c r="I2602" s="834"/>
      <c r="J2602" s="834"/>
      <c r="K2602" s="835"/>
      <c r="L2602" s="835"/>
      <c r="M2602" s="835"/>
      <c r="N2602" s="835"/>
      <c r="O2602" s="835"/>
      <c r="P2602" s="835"/>
      <c r="Q2602" s="540"/>
      <c r="R2602" s="540"/>
      <c r="S2602" s="540"/>
      <c r="T2602" s="540"/>
      <c r="U2602" s="540"/>
      <c r="V2602" s="540"/>
      <c r="W2602" s="540"/>
      <c r="X2602" s="540"/>
      <c r="Y2602" s="540"/>
      <c r="Z2602" s="540"/>
    </row>
    <row r="2603" spans="1:26" ht="19">
      <c r="A2603" s="631"/>
      <c r="B2603" s="631"/>
      <c r="C2603" s="631"/>
      <c r="D2603" s="832"/>
      <c r="E2603" s="631"/>
      <c r="F2603" s="631"/>
      <c r="G2603" s="631"/>
      <c r="H2603" s="833"/>
      <c r="I2603" s="834"/>
      <c r="J2603" s="834"/>
      <c r="K2603" s="835"/>
      <c r="L2603" s="835"/>
      <c r="M2603" s="835"/>
      <c r="N2603" s="835"/>
      <c r="O2603" s="835"/>
      <c r="P2603" s="835"/>
      <c r="Q2603" s="540"/>
      <c r="R2603" s="540"/>
      <c r="S2603" s="540"/>
      <c r="T2603" s="540"/>
      <c r="U2603" s="540"/>
      <c r="V2603" s="540"/>
      <c r="W2603" s="540"/>
      <c r="X2603" s="540"/>
      <c r="Y2603" s="540"/>
      <c r="Z2603" s="540"/>
    </row>
    <row r="2604" spans="1:26" ht="19">
      <c r="A2604" s="631"/>
      <c r="B2604" s="631"/>
      <c r="C2604" s="631"/>
      <c r="D2604" s="832"/>
      <c r="E2604" s="631"/>
      <c r="F2604" s="631"/>
      <c r="G2604" s="631"/>
      <c r="H2604" s="833"/>
      <c r="I2604" s="834"/>
      <c r="J2604" s="834"/>
      <c r="K2604" s="835"/>
      <c r="L2604" s="835"/>
      <c r="M2604" s="835"/>
      <c r="N2604" s="835"/>
      <c r="O2604" s="835"/>
      <c r="P2604" s="835"/>
      <c r="Q2604" s="540"/>
      <c r="R2604" s="540"/>
      <c r="S2604" s="540"/>
      <c r="T2604" s="540"/>
      <c r="U2604" s="540"/>
      <c r="V2604" s="540"/>
      <c r="W2604" s="540"/>
      <c r="X2604" s="540"/>
      <c r="Y2604" s="540"/>
      <c r="Z2604" s="540"/>
    </row>
    <row r="2605" spans="1:26" ht="19">
      <c r="A2605" s="631"/>
      <c r="B2605" s="631"/>
      <c r="C2605" s="631"/>
      <c r="D2605" s="832"/>
      <c r="E2605" s="631"/>
      <c r="F2605" s="631"/>
      <c r="G2605" s="631"/>
      <c r="H2605" s="833"/>
      <c r="I2605" s="834"/>
      <c r="J2605" s="834"/>
      <c r="K2605" s="835"/>
      <c r="L2605" s="835"/>
      <c r="M2605" s="835"/>
      <c r="N2605" s="835"/>
      <c r="O2605" s="835"/>
      <c r="P2605" s="835"/>
      <c r="Q2605" s="540"/>
      <c r="R2605" s="540"/>
      <c r="S2605" s="540"/>
      <c r="T2605" s="540"/>
      <c r="U2605" s="540"/>
      <c r="V2605" s="540"/>
      <c r="W2605" s="540"/>
      <c r="X2605" s="540"/>
      <c r="Y2605" s="540"/>
      <c r="Z2605" s="540"/>
    </row>
    <row r="2606" spans="1:26" ht="19">
      <c r="A2606" s="631"/>
      <c r="B2606" s="631"/>
      <c r="C2606" s="631"/>
      <c r="D2606" s="832"/>
      <c r="E2606" s="631"/>
      <c r="F2606" s="631"/>
      <c r="G2606" s="631"/>
      <c r="H2606" s="833"/>
      <c r="I2606" s="834"/>
      <c r="J2606" s="834"/>
      <c r="K2606" s="835"/>
      <c r="L2606" s="835"/>
      <c r="M2606" s="835"/>
      <c r="N2606" s="835"/>
      <c r="O2606" s="835"/>
      <c r="P2606" s="835"/>
      <c r="Q2606" s="540"/>
      <c r="R2606" s="540"/>
      <c r="S2606" s="540"/>
      <c r="T2606" s="540"/>
      <c r="U2606" s="540"/>
      <c r="V2606" s="540"/>
      <c r="W2606" s="540"/>
      <c r="X2606" s="540"/>
      <c r="Y2606" s="540"/>
      <c r="Z2606" s="540"/>
    </row>
    <row r="2607" spans="1:26" ht="19">
      <c r="A2607" s="631"/>
      <c r="B2607" s="631"/>
      <c r="C2607" s="631"/>
      <c r="D2607" s="832"/>
      <c r="E2607" s="631"/>
      <c r="F2607" s="631"/>
      <c r="G2607" s="631"/>
      <c r="H2607" s="833"/>
      <c r="I2607" s="834"/>
      <c r="J2607" s="834"/>
      <c r="K2607" s="835"/>
      <c r="L2607" s="835"/>
      <c r="M2607" s="835"/>
      <c r="N2607" s="835"/>
      <c r="O2607" s="835"/>
      <c r="P2607" s="835"/>
      <c r="Q2607" s="540"/>
      <c r="R2607" s="540"/>
      <c r="S2607" s="540"/>
      <c r="T2607" s="540"/>
      <c r="U2607" s="540"/>
      <c r="V2607" s="540"/>
      <c r="W2607" s="540"/>
      <c r="X2607" s="540"/>
      <c r="Y2607" s="540"/>
      <c r="Z2607" s="540"/>
    </row>
    <row r="2608" spans="1:26" ht="19">
      <c r="A2608" s="631"/>
      <c r="B2608" s="631"/>
      <c r="C2608" s="631"/>
      <c r="D2608" s="832"/>
      <c r="E2608" s="631"/>
      <c r="F2608" s="631"/>
      <c r="G2608" s="631"/>
      <c r="H2608" s="833"/>
      <c r="I2608" s="834"/>
      <c r="J2608" s="834"/>
      <c r="K2608" s="835"/>
      <c r="L2608" s="835"/>
      <c r="M2608" s="835"/>
      <c r="N2608" s="835"/>
      <c r="O2608" s="835"/>
      <c r="P2608" s="835"/>
      <c r="Q2608" s="540"/>
      <c r="R2608" s="540"/>
      <c r="S2608" s="540"/>
      <c r="T2608" s="540"/>
      <c r="U2608" s="540"/>
      <c r="V2608" s="540"/>
      <c r="W2608" s="540"/>
      <c r="X2608" s="540"/>
      <c r="Y2608" s="540"/>
      <c r="Z2608" s="540"/>
    </row>
    <row r="2609" spans="1:26" ht="19">
      <c r="A2609" s="631"/>
      <c r="B2609" s="631"/>
      <c r="C2609" s="631"/>
      <c r="D2609" s="832"/>
      <c r="E2609" s="631"/>
      <c r="F2609" s="631"/>
      <c r="G2609" s="631"/>
      <c r="H2609" s="833"/>
      <c r="I2609" s="834"/>
      <c r="J2609" s="834"/>
      <c r="K2609" s="835"/>
      <c r="L2609" s="835"/>
      <c r="M2609" s="835"/>
      <c r="N2609" s="835"/>
      <c r="O2609" s="835"/>
      <c r="P2609" s="835"/>
      <c r="Q2609" s="540"/>
      <c r="R2609" s="540"/>
      <c r="S2609" s="540"/>
      <c r="T2609" s="540"/>
      <c r="U2609" s="540"/>
      <c r="V2609" s="540"/>
      <c r="W2609" s="540"/>
      <c r="X2609" s="540"/>
      <c r="Y2609" s="540"/>
      <c r="Z2609" s="540"/>
    </row>
    <row r="2610" spans="1:26" ht="19">
      <c r="A2610" s="631"/>
      <c r="B2610" s="631"/>
      <c r="C2610" s="631"/>
      <c r="D2610" s="832"/>
      <c r="E2610" s="631"/>
      <c r="F2610" s="631"/>
      <c r="G2610" s="631"/>
      <c r="H2610" s="833"/>
      <c r="I2610" s="834"/>
      <c r="J2610" s="834"/>
      <c r="K2610" s="835"/>
      <c r="L2610" s="835"/>
      <c r="M2610" s="835"/>
      <c r="N2610" s="835"/>
      <c r="O2610" s="835"/>
      <c r="P2610" s="835"/>
      <c r="Q2610" s="540"/>
      <c r="R2610" s="540"/>
      <c r="S2610" s="540"/>
      <c r="T2610" s="540"/>
      <c r="U2610" s="540"/>
      <c r="V2610" s="540"/>
      <c r="W2610" s="540"/>
      <c r="X2610" s="540"/>
      <c r="Y2610" s="540"/>
      <c r="Z2610" s="540"/>
    </row>
    <row r="2611" spans="1:26" ht="19">
      <c r="A2611" s="631"/>
      <c r="B2611" s="631"/>
      <c r="C2611" s="631"/>
      <c r="D2611" s="832"/>
      <c r="E2611" s="631"/>
      <c r="F2611" s="631"/>
      <c r="G2611" s="631"/>
      <c r="H2611" s="833"/>
      <c r="I2611" s="834"/>
      <c r="J2611" s="834"/>
      <c r="K2611" s="835"/>
      <c r="L2611" s="835"/>
      <c r="M2611" s="835"/>
      <c r="N2611" s="835"/>
      <c r="O2611" s="835"/>
      <c r="P2611" s="835"/>
      <c r="Q2611" s="540"/>
      <c r="R2611" s="540"/>
      <c r="S2611" s="540"/>
      <c r="T2611" s="540"/>
      <c r="U2611" s="540"/>
      <c r="V2611" s="540"/>
      <c r="W2611" s="540"/>
      <c r="X2611" s="540"/>
      <c r="Y2611" s="540"/>
      <c r="Z2611" s="540"/>
    </row>
    <row r="2612" spans="1:26" ht="19">
      <c r="A2612" s="631"/>
      <c r="B2612" s="631"/>
      <c r="C2612" s="631"/>
      <c r="D2612" s="832"/>
      <c r="E2612" s="631"/>
      <c r="F2612" s="631"/>
      <c r="G2612" s="631"/>
      <c r="H2612" s="833"/>
      <c r="I2612" s="834"/>
      <c r="J2612" s="834"/>
      <c r="K2612" s="835"/>
      <c r="L2612" s="835"/>
      <c r="M2612" s="835"/>
      <c r="N2612" s="835"/>
      <c r="O2612" s="835"/>
      <c r="P2612" s="835"/>
      <c r="Q2612" s="540"/>
      <c r="R2612" s="540"/>
      <c r="S2612" s="540"/>
      <c r="T2612" s="540"/>
      <c r="U2612" s="540"/>
      <c r="V2612" s="540"/>
      <c r="W2612" s="540"/>
      <c r="X2612" s="540"/>
      <c r="Y2612" s="540"/>
      <c r="Z2612" s="540"/>
    </row>
    <row r="2613" spans="1:26" ht="19">
      <c r="A2613" s="631"/>
      <c r="B2613" s="631"/>
      <c r="C2613" s="631"/>
      <c r="D2613" s="832"/>
      <c r="E2613" s="631"/>
      <c r="F2613" s="631"/>
      <c r="G2613" s="631"/>
      <c r="H2613" s="833"/>
      <c r="I2613" s="834"/>
      <c r="J2613" s="834"/>
      <c r="K2613" s="835"/>
      <c r="L2613" s="835"/>
      <c r="M2613" s="835"/>
      <c r="N2613" s="835"/>
      <c r="O2613" s="835"/>
      <c r="P2613" s="835"/>
      <c r="Q2613" s="540"/>
      <c r="R2613" s="540"/>
      <c r="S2613" s="540"/>
      <c r="T2613" s="540"/>
      <c r="U2613" s="540"/>
      <c r="V2613" s="540"/>
      <c r="W2613" s="540"/>
      <c r="X2613" s="540"/>
      <c r="Y2613" s="540"/>
      <c r="Z2613" s="540"/>
    </row>
    <row r="2614" spans="1:26" ht="19">
      <c r="A2614" s="631"/>
      <c r="B2614" s="631"/>
      <c r="C2614" s="631"/>
      <c r="D2614" s="832"/>
      <c r="E2614" s="631"/>
      <c r="F2614" s="631"/>
      <c r="G2614" s="631"/>
      <c r="H2614" s="833"/>
      <c r="I2614" s="834"/>
      <c r="J2614" s="834"/>
      <c r="K2614" s="835"/>
      <c r="L2614" s="835"/>
      <c r="M2614" s="835"/>
      <c r="N2614" s="835"/>
      <c r="O2614" s="835"/>
      <c r="P2614" s="835"/>
      <c r="Q2614" s="540"/>
      <c r="R2614" s="540"/>
      <c r="S2614" s="540"/>
      <c r="T2614" s="540"/>
      <c r="U2614" s="540"/>
      <c r="V2614" s="540"/>
      <c r="W2614" s="540"/>
      <c r="X2614" s="540"/>
      <c r="Y2614" s="540"/>
      <c r="Z2614" s="540"/>
    </row>
    <row r="2615" spans="1:26" ht="19">
      <c r="A2615" s="631"/>
      <c r="B2615" s="631"/>
      <c r="C2615" s="631"/>
      <c r="D2615" s="832"/>
      <c r="E2615" s="631"/>
      <c r="F2615" s="631"/>
      <c r="G2615" s="631"/>
      <c r="H2615" s="833"/>
      <c r="I2615" s="834"/>
      <c r="J2615" s="834"/>
      <c r="K2615" s="835"/>
      <c r="L2615" s="835"/>
      <c r="M2615" s="835"/>
      <c r="N2615" s="835"/>
      <c r="O2615" s="835"/>
      <c r="P2615" s="835"/>
      <c r="Q2615" s="540"/>
      <c r="R2615" s="540"/>
      <c r="S2615" s="540"/>
      <c r="T2615" s="540"/>
      <c r="U2615" s="540"/>
      <c r="V2615" s="540"/>
      <c r="W2615" s="540"/>
      <c r="X2615" s="540"/>
      <c r="Y2615" s="540"/>
      <c r="Z2615" s="540"/>
    </row>
    <row r="2616" spans="1:26" ht="19">
      <c r="A2616" s="631"/>
      <c r="B2616" s="631"/>
      <c r="C2616" s="631"/>
      <c r="D2616" s="832"/>
      <c r="E2616" s="631"/>
      <c r="F2616" s="631"/>
      <c r="G2616" s="631"/>
      <c r="H2616" s="833"/>
      <c r="I2616" s="834"/>
      <c r="J2616" s="834"/>
      <c r="K2616" s="835"/>
      <c r="L2616" s="835"/>
      <c r="M2616" s="835"/>
      <c r="N2616" s="835"/>
      <c r="O2616" s="835"/>
      <c r="P2616" s="835"/>
      <c r="Q2616" s="540"/>
      <c r="R2616" s="540"/>
      <c r="S2616" s="540"/>
      <c r="T2616" s="540"/>
      <c r="U2616" s="540"/>
      <c r="V2616" s="540"/>
      <c r="W2616" s="540"/>
      <c r="X2616" s="540"/>
      <c r="Y2616" s="540"/>
      <c r="Z2616" s="540"/>
    </row>
    <row r="2617" spans="1:26" ht="19">
      <c r="A2617" s="631"/>
      <c r="B2617" s="631"/>
      <c r="C2617" s="631"/>
      <c r="D2617" s="832"/>
      <c r="E2617" s="631"/>
      <c r="F2617" s="631"/>
      <c r="G2617" s="631"/>
      <c r="H2617" s="833"/>
      <c r="I2617" s="834"/>
      <c r="J2617" s="834"/>
      <c r="K2617" s="835"/>
      <c r="L2617" s="835"/>
      <c r="M2617" s="835"/>
      <c r="N2617" s="835"/>
      <c r="O2617" s="835"/>
      <c r="P2617" s="835"/>
      <c r="Q2617" s="540"/>
      <c r="R2617" s="540"/>
      <c r="S2617" s="540"/>
      <c r="T2617" s="540"/>
      <c r="U2617" s="540"/>
      <c r="V2617" s="540"/>
      <c r="W2617" s="540"/>
      <c r="X2617" s="540"/>
      <c r="Y2617" s="540"/>
      <c r="Z2617" s="540"/>
    </row>
    <row r="2618" spans="1:26" ht="19">
      <c r="A2618" s="631"/>
      <c r="B2618" s="631"/>
      <c r="C2618" s="631"/>
      <c r="D2618" s="832"/>
      <c r="E2618" s="631"/>
      <c r="F2618" s="631"/>
      <c r="G2618" s="631"/>
      <c r="H2618" s="833"/>
      <c r="I2618" s="834"/>
      <c r="J2618" s="834"/>
      <c r="K2618" s="835"/>
      <c r="L2618" s="835"/>
      <c r="M2618" s="835"/>
      <c r="N2618" s="835"/>
      <c r="O2618" s="835"/>
      <c r="P2618" s="835"/>
      <c r="Q2618" s="540"/>
      <c r="R2618" s="540"/>
      <c r="S2618" s="540"/>
      <c r="T2618" s="540"/>
      <c r="U2618" s="540"/>
      <c r="V2618" s="540"/>
      <c r="W2618" s="540"/>
      <c r="X2618" s="540"/>
      <c r="Y2618" s="540"/>
      <c r="Z2618" s="540"/>
    </row>
    <row r="2619" spans="1:26" ht="19">
      <c r="A2619" s="631"/>
      <c r="B2619" s="631"/>
      <c r="C2619" s="631"/>
      <c r="D2619" s="832"/>
      <c r="E2619" s="631"/>
      <c r="F2619" s="631"/>
      <c r="G2619" s="631"/>
      <c r="H2619" s="833"/>
      <c r="I2619" s="834"/>
      <c r="J2619" s="834"/>
      <c r="K2619" s="835"/>
      <c r="L2619" s="835"/>
      <c r="M2619" s="835"/>
      <c r="N2619" s="835"/>
      <c r="O2619" s="835"/>
      <c r="P2619" s="835"/>
      <c r="Q2619" s="540"/>
      <c r="R2619" s="540"/>
      <c r="S2619" s="540"/>
      <c r="T2619" s="540"/>
      <c r="U2619" s="540"/>
      <c r="V2619" s="540"/>
      <c r="W2619" s="540"/>
      <c r="X2619" s="540"/>
      <c r="Y2619" s="540"/>
      <c r="Z2619" s="540"/>
    </row>
    <row r="2620" spans="1:26" ht="19">
      <c r="A2620" s="631"/>
      <c r="B2620" s="631"/>
      <c r="C2620" s="631"/>
      <c r="D2620" s="832"/>
      <c r="E2620" s="631"/>
      <c r="F2620" s="631"/>
      <c r="G2620" s="631"/>
      <c r="H2620" s="833"/>
      <c r="I2620" s="834"/>
      <c r="J2620" s="834"/>
      <c r="K2620" s="835"/>
      <c r="L2620" s="835"/>
      <c r="M2620" s="835"/>
      <c r="N2620" s="835"/>
      <c r="O2620" s="835"/>
      <c r="P2620" s="835"/>
      <c r="Q2620" s="540"/>
      <c r="R2620" s="540"/>
      <c r="S2620" s="540"/>
      <c r="T2620" s="540"/>
      <c r="U2620" s="540"/>
      <c r="V2620" s="540"/>
      <c r="W2620" s="540"/>
      <c r="X2620" s="540"/>
      <c r="Y2620" s="540"/>
      <c r="Z2620" s="540"/>
    </row>
    <row r="2621" spans="1:26" ht="19">
      <c r="A2621" s="631"/>
      <c r="B2621" s="631"/>
      <c r="C2621" s="631"/>
      <c r="D2621" s="832"/>
      <c r="E2621" s="631"/>
      <c r="F2621" s="631"/>
      <c r="G2621" s="631"/>
      <c r="H2621" s="833"/>
      <c r="I2621" s="834"/>
      <c r="J2621" s="834"/>
      <c r="K2621" s="835"/>
      <c r="L2621" s="835"/>
      <c r="M2621" s="835"/>
      <c r="N2621" s="835"/>
      <c r="O2621" s="835"/>
      <c r="P2621" s="835"/>
      <c r="Q2621" s="540"/>
      <c r="R2621" s="540"/>
      <c r="S2621" s="540"/>
      <c r="T2621" s="540"/>
      <c r="U2621" s="540"/>
      <c r="V2621" s="540"/>
      <c r="W2621" s="540"/>
      <c r="X2621" s="540"/>
      <c r="Y2621" s="540"/>
      <c r="Z2621" s="540"/>
    </row>
    <row r="2622" spans="1:26" ht="19">
      <c r="A2622" s="631"/>
      <c r="B2622" s="631"/>
      <c r="C2622" s="631"/>
      <c r="D2622" s="832"/>
      <c r="E2622" s="631"/>
      <c r="F2622" s="631"/>
      <c r="G2622" s="631"/>
      <c r="H2622" s="833"/>
      <c r="I2622" s="834"/>
      <c r="J2622" s="834"/>
      <c r="K2622" s="835"/>
      <c r="L2622" s="835"/>
      <c r="M2622" s="835"/>
      <c r="N2622" s="835"/>
      <c r="O2622" s="835"/>
      <c r="P2622" s="835"/>
      <c r="Q2622" s="540"/>
      <c r="R2622" s="540"/>
      <c r="S2622" s="540"/>
      <c r="T2622" s="540"/>
      <c r="U2622" s="540"/>
      <c r="V2622" s="540"/>
      <c r="W2622" s="540"/>
      <c r="X2622" s="540"/>
      <c r="Y2622" s="540"/>
      <c r="Z2622" s="540"/>
    </row>
    <row r="2623" spans="1:26" ht="19">
      <c r="A2623" s="631"/>
      <c r="B2623" s="631"/>
      <c r="C2623" s="631"/>
      <c r="D2623" s="832"/>
      <c r="E2623" s="631"/>
      <c r="F2623" s="631"/>
      <c r="G2623" s="631"/>
      <c r="H2623" s="833"/>
      <c r="I2623" s="834"/>
      <c r="J2623" s="834"/>
      <c r="K2623" s="835"/>
      <c r="L2623" s="835"/>
      <c r="M2623" s="835"/>
      <c r="N2623" s="835"/>
      <c r="O2623" s="835"/>
      <c r="P2623" s="835"/>
      <c r="Q2623" s="540"/>
      <c r="R2623" s="540"/>
      <c r="S2623" s="540"/>
      <c r="T2623" s="540"/>
      <c r="U2623" s="540"/>
      <c r="V2623" s="540"/>
      <c r="W2623" s="540"/>
      <c r="X2623" s="540"/>
      <c r="Y2623" s="540"/>
      <c r="Z2623" s="540"/>
    </row>
    <row r="2624" spans="1:26" ht="19">
      <c r="A2624" s="631"/>
      <c r="B2624" s="631"/>
      <c r="C2624" s="631"/>
      <c r="D2624" s="832"/>
      <c r="E2624" s="631"/>
      <c r="F2624" s="631"/>
      <c r="G2624" s="631"/>
      <c r="H2624" s="833"/>
      <c r="I2624" s="834"/>
      <c r="J2624" s="834"/>
      <c r="K2624" s="835"/>
      <c r="L2624" s="835"/>
      <c r="M2624" s="835"/>
      <c r="N2624" s="835"/>
      <c r="O2624" s="835"/>
      <c r="P2624" s="835"/>
      <c r="Q2624" s="540"/>
      <c r="R2624" s="540"/>
      <c r="S2624" s="540"/>
      <c r="T2624" s="540"/>
      <c r="U2624" s="540"/>
      <c r="V2624" s="540"/>
      <c r="W2624" s="540"/>
      <c r="X2624" s="540"/>
      <c r="Y2624" s="540"/>
      <c r="Z2624" s="540"/>
    </row>
    <row r="2625" spans="1:26" ht="19">
      <c r="A2625" s="631"/>
      <c r="B2625" s="631"/>
      <c r="C2625" s="631"/>
      <c r="D2625" s="832"/>
      <c r="E2625" s="631"/>
      <c r="F2625" s="631"/>
      <c r="G2625" s="631"/>
      <c r="H2625" s="833"/>
      <c r="I2625" s="834"/>
      <c r="J2625" s="834"/>
      <c r="K2625" s="835"/>
      <c r="L2625" s="835"/>
      <c r="M2625" s="835"/>
      <c r="N2625" s="835"/>
      <c r="O2625" s="835"/>
      <c r="P2625" s="835"/>
      <c r="Q2625" s="540"/>
      <c r="R2625" s="540"/>
      <c r="S2625" s="540"/>
      <c r="T2625" s="540"/>
      <c r="U2625" s="540"/>
      <c r="V2625" s="540"/>
      <c r="W2625" s="540"/>
      <c r="X2625" s="540"/>
      <c r="Y2625" s="540"/>
      <c r="Z2625" s="540"/>
    </row>
    <row r="2626" spans="1:26" ht="19">
      <c r="A2626" s="631"/>
      <c r="B2626" s="631"/>
      <c r="C2626" s="631"/>
      <c r="D2626" s="832"/>
      <c r="E2626" s="631"/>
      <c r="F2626" s="631"/>
      <c r="G2626" s="631"/>
      <c r="H2626" s="833"/>
      <c r="I2626" s="834"/>
      <c r="J2626" s="834"/>
      <c r="K2626" s="835"/>
      <c r="L2626" s="835"/>
      <c r="M2626" s="835"/>
      <c r="N2626" s="835"/>
      <c r="O2626" s="835"/>
      <c r="P2626" s="835"/>
      <c r="Q2626" s="540"/>
      <c r="R2626" s="540"/>
      <c r="S2626" s="540"/>
      <c r="T2626" s="540"/>
      <c r="U2626" s="540"/>
      <c r="V2626" s="540"/>
      <c r="W2626" s="540"/>
      <c r="X2626" s="540"/>
      <c r="Y2626" s="540"/>
      <c r="Z2626" s="540"/>
    </row>
    <row r="2627" spans="1:26" ht="19">
      <c r="A2627" s="631"/>
      <c r="B2627" s="631"/>
      <c r="C2627" s="631"/>
      <c r="D2627" s="832"/>
      <c r="E2627" s="631"/>
      <c r="F2627" s="631"/>
      <c r="G2627" s="631"/>
      <c r="H2627" s="833"/>
      <c r="I2627" s="834"/>
      <c r="J2627" s="834"/>
      <c r="K2627" s="835"/>
      <c r="L2627" s="835"/>
      <c r="M2627" s="835"/>
      <c r="N2627" s="835"/>
      <c r="O2627" s="835"/>
      <c r="P2627" s="835"/>
      <c r="Q2627" s="540"/>
      <c r="R2627" s="540"/>
      <c r="S2627" s="540"/>
      <c r="T2627" s="540"/>
      <c r="U2627" s="540"/>
      <c r="V2627" s="540"/>
      <c r="W2627" s="540"/>
      <c r="X2627" s="540"/>
      <c r="Y2627" s="540"/>
      <c r="Z2627" s="540"/>
    </row>
    <row r="2628" spans="1:26" ht="19">
      <c r="A2628" s="631"/>
      <c r="B2628" s="631"/>
      <c r="C2628" s="631"/>
      <c r="D2628" s="832"/>
      <c r="E2628" s="631"/>
      <c r="F2628" s="631"/>
      <c r="G2628" s="631"/>
      <c r="H2628" s="833"/>
      <c r="I2628" s="834"/>
      <c r="J2628" s="834"/>
      <c r="K2628" s="835"/>
      <c r="L2628" s="835"/>
      <c r="M2628" s="835"/>
      <c r="N2628" s="835"/>
      <c r="O2628" s="835"/>
      <c r="P2628" s="835"/>
      <c r="Q2628" s="540"/>
      <c r="R2628" s="540"/>
      <c r="S2628" s="540"/>
      <c r="T2628" s="540"/>
      <c r="U2628" s="540"/>
      <c r="V2628" s="540"/>
      <c r="W2628" s="540"/>
      <c r="X2628" s="540"/>
      <c r="Y2628" s="540"/>
      <c r="Z2628" s="540"/>
    </row>
    <row r="2629" spans="1:26" ht="19">
      <c r="A2629" s="631"/>
      <c r="B2629" s="631"/>
      <c r="C2629" s="631"/>
      <c r="D2629" s="832"/>
      <c r="E2629" s="631"/>
      <c r="F2629" s="631"/>
      <c r="G2629" s="631"/>
      <c r="H2629" s="833"/>
      <c r="I2629" s="834"/>
      <c r="J2629" s="834"/>
      <c r="K2629" s="835"/>
      <c r="L2629" s="835"/>
      <c r="M2629" s="835"/>
      <c r="N2629" s="835"/>
      <c r="O2629" s="835"/>
      <c r="P2629" s="835"/>
      <c r="Q2629" s="540"/>
      <c r="R2629" s="540"/>
      <c r="S2629" s="540"/>
      <c r="T2629" s="540"/>
      <c r="U2629" s="540"/>
      <c r="V2629" s="540"/>
      <c r="W2629" s="540"/>
      <c r="X2629" s="540"/>
      <c r="Y2629" s="540"/>
      <c r="Z2629" s="540"/>
    </row>
    <row r="2630" spans="1:26" ht="19">
      <c r="A2630" s="631"/>
      <c r="B2630" s="631"/>
      <c r="C2630" s="631"/>
      <c r="D2630" s="832"/>
      <c r="E2630" s="631"/>
      <c r="F2630" s="631"/>
      <c r="G2630" s="631"/>
      <c r="H2630" s="833"/>
      <c r="I2630" s="834"/>
      <c r="J2630" s="834"/>
      <c r="K2630" s="835"/>
      <c r="L2630" s="835"/>
      <c r="M2630" s="835"/>
      <c r="N2630" s="835"/>
      <c r="O2630" s="835"/>
      <c r="P2630" s="835"/>
      <c r="Q2630" s="540"/>
      <c r="R2630" s="540"/>
      <c r="S2630" s="540"/>
      <c r="T2630" s="540"/>
      <c r="U2630" s="540"/>
      <c r="V2630" s="540"/>
      <c r="W2630" s="540"/>
      <c r="X2630" s="540"/>
      <c r="Y2630" s="540"/>
      <c r="Z2630" s="540"/>
    </row>
    <row r="2631" spans="1:26" ht="19">
      <c r="A2631" s="631"/>
      <c r="B2631" s="631"/>
      <c r="C2631" s="631"/>
      <c r="D2631" s="832"/>
      <c r="E2631" s="631"/>
      <c r="F2631" s="631"/>
      <c r="G2631" s="631"/>
      <c r="H2631" s="833"/>
      <c r="I2631" s="834"/>
      <c r="J2631" s="834"/>
      <c r="K2631" s="835"/>
      <c r="L2631" s="835"/>
      <c r="M2631" s="835"/>
      <c r="N2631" s="835"/>
      <c r="O2631" s="835"/>
      <c r="P2631" s="835"/>
      <c r="Q2631" s="540"/>
      <c r="R2631" s="540"/>
      <c r="S2631" s="540"/>
      <c r="T2631" s="540"/>
      <c r="U2631" s="540"/>
      <c r="V2631" s="540"/>
      <c r="W2631" s="540"/>
      <c r="X2631" s="540"/>
      <c r="Y2631" s="540"/>
      <c r="Z2631" s="540"/>
    </row>
    <row r="2632" spans="1:26" ht="19">
      <c r="A2632" s="631"/>
      <c r="B2632" s="631"/>
      <c r="C2632" s="631"/>
      <c r="D2632" s="832"/>
      <c r="E2632" s="631"/>
      <c r="F2632" s="631"/>
      <c r="G2632" s="631"/>
      <c r="H2632" s="833"/>
      <c r="I2632" s="834"/>
      <c r="J2632" s="834"/>
      <c r="K2632" s="835"/>
      <c r="L2632" s="835"/>
      <c r="M2632" s="835"/>
      <c r="N2632" s="835"/>
      <c r="O2632" s="835"/>
      <c r="P2632" s="835"/>
      <c r="Q2632" s="540"/>
      <c r="R2632" s="540"/>
      <c r="S2632" s="540"/>
      <c r="T2632" s="540"/>
      <c r="U2632" s="540"/>
      <c r="V2632" s="540"/>
      <c r="W2632" s="540"/>
      <c r="X2632" s="540"/>
      <c r="Y2632" s="540"/>
      <c r="Z2632" s="540"/>
    </row>
    <row r="2633" spans="1:26" ht="19">
      <c r="A2633" s="631"/>
      <c r="B2633" s="631"/>
      <c r="C2633" s="631"/>
      <c r="D2633" s="832"/>
      <c r="E2633" s="631"/>
      <c r="F2633" s="631"/>
      <c r="G2633" s="631"/>
      <c r="H2633" s="833"/>
      <c r="I2633" s="834"/>
      <c r="J2633" s="834"/>
      <c r="K2633" s="835"/>
      <c r="L2633" s="835"/>
      <c r="M2633" s="835"/>
      <c r="N2633" s="835"/>
      <c r="O2633" s="835"/>
      <c r="P2633" s="835"/>
      <c r="Q2633" s="540"/>
      <c r="R2633" s="540"/>
      <c r="S2633" s="540"/>
      <c r="T2633" s="540"/>
      <c r="U2633" s="540"/>
      <c r="V2633" s="540"/>
      <c r="W2633" s="540"/>
      <c r="X2633" s="540"/>
      <c r="Y2633" s="540"/>
      <c r="Z2633" s="540"/>
    </row>
    <row r="2634" spans="1:26" ht="19">
      <c r="A2634" s="631"/>
      <c r="B2634" s="631"/>
      <c r="C2634" s="631"/>
      <c r="D2634" s="832"/>
      <c r="E2634" s="631"/>
      <c r="F2634" s="631"/>
      <c r="G2634" s="631"/>
      <c r="H2634" s="833"/>
      <c r="I2634" s="834"/>
      <c r="J2634" s="834"/>
      <c r="K2634" s="835"/>
      <c r="L2634" s="835"/>
      <c r="M2634" s="835"/>
      <c r="N2634" s="835"/>
      <c r="O2634" s="835"/>
      <c r="P2634" s="835"/>
      <c r="Q2634" s="540"/>
      <c r="R2634" s="540"/>
      <c r="S2634" s="540"/>
      <c r="T2634" s="540"/>
      <c r="U2634" s="540"/>
      <c r="V2634" s="540"/>
      <c r="W2634" s="540"/>
      <c r="X2634" s="540"/>
      <c r="Y2634" s="540"/>
      <c r="Z2634" s="540"/>
    </row>
    <row r="2635" spans="1:26" ht="19">
      <c r="A2635" s="631"/>
      <c r="B2635" s="631"/>
      <c r="C2635" s="631"/>
      <c r="D2635" s="832"/>
      <c r="E2635" s="631"/>
      <c r="F2635" s="631"/>
      <c r="G2635" s="631"/>
      <c r="H2635" s="833"/>
      <c r="I2635" s="834"/>
      <c r="J2635" s="834"/>
      <c r="K2635" s="835"/>
      <c r="L2635" s="835"/>
      <c r="M2635" s="835"/>
      <c r="N2635" s="835"/>
      <c r="O2635" s="835"/>
      <c r="P2635" s="835"/>
      <c r="Q2635" s="540"/>
      <c r="R2635" s="540"/>
      <c r="S2635" s="540"/>
      <c r="T2635" s="540"/>
      <c r="U2635" s="540"/>
      <c r="V2635" s="540"/>
      <c r="W2635" s="540"/>
      <c r="X2635" s="540"/>
      <c r="Y2635" s="540"/>
      <c r="Z2635" s="540"/>
    </row>
    <row r="2636" spans="1:26" ht="19">
      <c r="A2636" s="631"/>
      <c r="B2636" s="631"/>
      <c r="C2636" s="631"/>
      <c r="D2636" s="832"/>
      <c r="E2636" s="631"/>
      <c r="F2636" s="631"/>
      <c r="G2636" s="631"/>
      <c r="H2636" s="833"/>
      <c r="I2636" s="834"/>
      <c r="J2636" s="834"/>
      <c r="K2636" s="835"/>
      <c r="L2636" s="835"/>
      <c r="M2636" s="835"/>
      <c r="N2636" s="835"/>
      <c r="O2636" s="835"/>
      <c r="P2636" s="835"/>
      <c r="Q2636" s="540"/>
      <c r="R2636" s="540"/>
      <c r="S2636" s="540"/>
      <c r="T2636" s="540"/>
      <c r="U2636" s="540"/>
      <c r="V2636" s="540"/>
      <c r="W2636" s="540"/>
      <c r="X2636" s="540"/>
      <c r="Y2636" s="540"/>
      <c r="Z2636" s="540"/>
    </row>
    <row r="2637" spans="1:26" ht="19">
      <c r="A2637" s="631"/>
      <c r="B2637" s="631"/>
      <c r="C2637" s="631"/>
      <c r="D2637" s="832"/>
      <c r="E2637" s="631"/>
      <c r="F2637" s="631"/>
      <c r="G2637" s="631"/>
      <c r="H2637" s="833"/>
      <c r="I2637" s="834"/>
      <c r="J2637" s="834"/>
      <c r="K2637" s="835"/>
      <c r="L2637" s="835"/>
      <c r="M2637" s="835"/>
      <c r="N2637" s="835"/>
      <c r="O2637" s="835"/>
      <c r="P2637" s="835"/>
      <c r="Q2637" s="540"/>
      <c r="R2637" s="540"/>
      <c r="S2637" s="540"/>
      <c r="T2637" s="540"/>
      <c r="U2637" s="540"/>
      <c r="V2637" s="540"/>
      <c r="W2637" s="540"/>
      <c r="X2637" s="540"/>
      <c r="Y2637" s="540"/>
      <c r="Z2637" s="540"/>
    </row>
    <row r="2638" spans="1:26" ht="19">
      <c r="A2638" s="631"/>
      <c r="B2638" s="631"/>
      <c r="C2638" s="631"/>
      <c r="D2638" s="832"/>
      <c r="E2638" s="631"/>
      <c r="F2638" s="631"/>
      <c r="G2638" s="631"/>
      <c r="H2638" s="833"/>
      <c r="I2638" s="834"/>
      <c r="J2638" s="834"/>
      <c r="K2638" s="835"/>
      <c r="L2638" s="835"/>
      <c r="M2638" s="835"/>
      <c r="N2638" s="835"/>
      <c r="O2638" s="835"/>
      <c r="P2638" s="835"/>
      <c r="Q2638" s="540"/>
      <c r="R2638" s="540"/>
      <c r="S2638" s="540"/>
      <c r="T2638" s="540"/>
      <c r="U2638" s="540"/>
      <c r="V2638" s="540"/>
      <c r="W2638" s="540"/>
      <c r="X2638" s="540"/>
      <c r="Y2638" s="540"/>
      <c r="Z2638" s="540"/>
    </row>
    <row r="2639" spans="1:26" ht="19">
      <c r="A2639" s="631"/>
      <c r="B2639" s="631"/>
      <c r="C2639" s="631"/>
      <c r="D2639" s="832"/>
      <c r="E2639" s="631"/>
      <c r="F2639" s="631"/>
      <c r="G2639" s="631"/>
      <c r="H2639" s="833"/>
      <c r="I2639" s="834"/>
      <c r="J2639" s="834"/>
      <c r="K2639" s="835"/>
      <c r="L2639" s="835"/>
      <c r="M2639" s="835"/>
      <c r="N2639" s="835"/>
      <c r="O2639" s="835"/>
      <c r="P2639" s="835"/>
      <c r="Q2639" s="540"/>
      <c r="R2639" s="540"/>
      <c r="S2639" s="540"/>
      <c r="T2639" s="540"/>
      <c r="U2639" s="540"/>
      <c r="V2639" s="540"/>
      <c r="W2639" s="540"/>
      <c r="X2639" s="540"/>
      <c r="Y2639" s="540"/>
      <c r="Z2639" s="540"/>
    </row>
    <row r="2640" spans="1:26" ht="19">
      <c r="A2640" s="631"/>
      <c r="B2640" s="631"/>
      <c r="C2640" s="631"/>
      <c r="D2640" s="832"/>
      <c r="E2640" s="631"/>
      <c r="F2640" s="631"/>
      <c r="G2640" s="631"/>
      <c r="H2640" s="833"/>
      <c r="I2640" s="834"/>
      <c r="J2640" s="834"/>
      <c r="K2640" s="835"/>
      <c r="L2640" s="835"/>
      <c r="M2640" s="835"/>
      <c r="N2640" s="835"/>
      <c r="O2640" s="835"/>
      <c r="P2640" s="835"/>
      <c r="Q2640" s="540"/>
      <c r="R2640" s="540"/>
      <c r="S2640" s="540"/>
      <c r="T2640" s="540"/>
      <c r="U2640" s="540"/>
      <c r="V2640" s="540"/>
      <c r="W2640" s="540"/>
      <c r="X2640" s="540"/>
      <c r="Y2640" s="540"/>
      <c r="Z2640" s="540"/>
    </row>
    <row r="2641" spans="1:26" ht="19">
      <c r="A2641" s="631"/>
      <c r="B2641" s="631"/>
      <c r="C2641" s="631"/>
      <c r="D2641" s="832"/>
      <c r="E2641" s="631"/>
      <c r="F2641" s="631"/>
      <c r="G2641" s="631"/>
      <c r="H2641" s="833"/>
      <c r="I2641" s="834"/>
      <c r="J2641" s="834"/>
      <c r="K2641" s="835"/>
      <c r="L2641" s="835"/>
      <c r="M2641" s="835"/>
      <c r="N2641" s="835"/>
      <c r="O2641" s="835"/>
      <c r="P2641" s="835"/>
      <c r="Q2641" s="540"/>
      <c r="R2641" s="540"/>
      <c r="S2641" s="540"/>
      <c r="T2641" s="540"/>
      <c r="U2641" s="540"/>
      <c r="V2641" s="540"/>
      <c r="W2641" s="540"/>
      <c r="X2641" s="540"/>
      <c r="Y2641" s="540"/>
      <c r="Z2641" s="540"/>
    </row>
    <row r="2642" spans="1:26" ht="19">
      <c r="A2642" s="631"/>
      <c r="B2642" s="631"/>
      <c r="C2642" s="631"/>
      <c r="D2642" s="832"/>
      <c r="E2642" s="631"/>
      <c r="F2642" s="631"/>
      <c r="G2642" s="631"/>
      <c r="H2642" s="833"/>
      <c r="I2642" s="834"/>
      <c r="J2642" s="834"/>
      <c r="K2642" s="835"/>
      <c r="L2642" s="835"/>
      <c r="M2642" s="835"/>
      <c r="N2642" s="835"/>
      <c r="O2642" s="835"/>
      <c r="P2642" s="835"/>
      <c r="Q2642" s="540"/>
      <c r="R2642" s="540"/>
      <c r="S2642" s="540"/>
      <c r="T2642" s="540"/>
      <c r="U2642" s="540"/>
      <c r="V2642" s="540"/>
      <c r="W2642" s="540"/>
      <c r="X2642" s="540"/>
      <c r="Y2642" s="540"/>
      <c r="Z2642" s="540"/>
    </row>
    <row r="2643" spans="1:26" ht="19">
      <c r="A2643" s="631"/>
      <c r="B2643" s="631"/>
      <c r="C2643" s="631"/>
      <c r="D2643" s="832"/>
      <c r="E2643" s="631"/>
      <c r="F2643" s="631"/>
      <c r="G2643" s="631"/>
      <c r="H2643" s="833"/>
      <c r="I2643" s="834"/>
      <c r="J2643" s="834"/>
      <c r="K2643" s="835"/>
      <c r="L2643" s="835"/>
      <c r="M2643" s="835"/>
      <c r="N2643" s="835"/>
      <c r="O2643" s="835"/>
      <c r="P2643" s="835"/>
      <c r="Q2643" s="540"/>
      <c r="R2643" s="540"/>
      <c r="S2643" s="540"/>
      <c r="T2643" s="540"/>
      <c r="U2643" s="540"/>
      <c r="V2643" s="540"/>
      <c r="W2643" s="540"/>
      <c r="X2643" s="540"/>
      <c r="Y2643" s="540"/>
      <c r="Z2643" s="540"/>
    </row>
    <row r="2644" spans="1:26" ht="19">
      <c r="A2644" s="631"/>
      <c r="B2644" s="631"/>
      <c r="C2644" s="631"/>
      <c r="D2644" s="832"/>
      <c r="E2644" s="631"/>
      <c r="F2644" s="631"/>
      <c r="G2644" s="631"/>
      <c r="H2644" s="833"/>
      <c r="I2644" s="834"/>
      <c r="J2644" s="834"/>
      <c r="K2644" s="835"/>
      <c r="L2644" s="835"/>
      <c r="M2644" s="835"/>
      <c r="N2644" s="835"/>
      <c r="O2644" s="835"/>
      <c r="P2644" s="835"/>
      <c r="Q2644" s="540"/>
      <c r="R2644" s="540"/>
      <c r="S2644" s="540"/>
      <c r="T2644" s="540"/>
      <c r="U2644" s="540"/>
      <c r="V2644" s="540"/>
      <c r="W2644" s="540"/>
      <c r="X2644" s="540"/>
      <c r="Y2644" s="540"/>
      <c r="Z2644" s="540"/>
    </row>
    <row r="2645" spans="1:26" ht="19">
      <c r="A2645" s="631"/>
      <c r="B2645" s="631"/>
      <c r="C2645" s="631"/>
      <c r="D2645" s="832"/>
      <c r="E2645" s="631"/>
      <c r="F2645" s="631"/>
      <c r="G2645" s="631"/>
      <c r="H2645" s="833"/>
      <c r="I2645" s="834"/>
      <c r="J2645" s="834"/>
      <c r="K2645" s="835"/>
      <c r="L2645" s="835"/>
      <c r="M2645" s="835"/>
      <c r="N2645" s="835"/>
      <c r="O2645" s="835"/>
      <c r="P2645" s="835"/>
      <c r="Q2645" s="540"/>
      <c r="R2645" s="540"/>
      <c r="S2645" s="540"/>
      <c r="T2645" s="540"/>
      <c r="U2645" s="540"/>
      <c r="V2645" s="540"/>
      <c r="W2645" s="540"/>
      <c r="X2645" s="540"/>
      <c r="Y2645" s="540"/>
      <c r="Z2645" s="540"/>
    </row>
    <row r="2646" spans="1:26" ht="19">
      <c r="A2646" s="631"/>
      <c r="B2646" s="631"/>
      <c r="C2646" s="631"/>
      <c r="D2646" s="832"/>
      <c r="E2646" s="631"/>
      <c r="F2646" s="631"/>
      <c r="G2646" s="631"/>
      <c r="H2646" s="833"/>
      <c r="I2646" s="834"/>
      <c r="J2646" s="834"/>
      <c r="K2646" s="835"/>
      <c r="L2646" s="835"/>
      <c r="M2646" s="835"/>
      <c r="N2646" s="835"/>
      <c r="O2646" s="835"/>
      <c r="P2646" s="835"/>
      <c r="Q2646" s="540"/>
      <c r="R2646" s="540"/>
      <c r="S2646" s="540"/>
      <c r="T2646" s="540"/>
      <c r="U2646" s="540"/>
      <c r="V2646" s="540"/>
      <c r="W2646" s="540"/>
      <c r="X2646" s="540"/>
      <c r="Y2646" s="540"/>
      <c r="Z2646" s="540"/>
    </row>
    <row r="2647" spans="1:26" ht="19">
      <c r="A2647" s="631"/>
      <c r="B2647" s="631"/>
      <c r="C2647" s="631"/>
      <c r="D2647" s="832"/>
      <c r="E2647" s="631"/>
      <c r="F2647" s="631"/>
      <c r="G2647" s="631"/>
      <c r="H2647" s="833"/>
      <c r="I2647" s="834"/>
      <c r="J2647" s="834"/>
      <c r="K2647" s="835"/>
      <c r="L2647" s="835"/>
      <c r="M2647" s="835"/>
      <c r="N2647" s="835"/>
      <c r="O2647" s="835"/>
      <c r="P2647" s="835"/>
      <c r="Q2647" s="540"/>
      <c r="R2647" s="540"/>
      <c r="S2647" s="540"/>
      <c r="T2647" s="540"/>
      <c r="U2647" s="540"/>
      <c r="V2647" s="540"/>
      <c r="W2647" s="540"/>
      <c r="X2647" s="540"/>
      <c r="Y2647" s="540"/>
      <c r="Z2647" s="540"/>
    </row>
    <row r="2648" spans="1:26" ht="19">
      <c r="A2648" s="631"/>
      <c r="B2648" s="631"/>
      <c r="C2648" s="631"/>
      <c r="D2648" s="832"/>
      <c r="E2648" s="631"/>
      <c r="F2648" s="631"/>
      <c r="G2648" s="631"/>
      <c r="H2648" s="833"/>
      <c r="I2648" s="834"/>
      <c r="J2648" s="834"/>
      <c r="K2648" s="835"/>
      <c r="L2648" s="835"/>
      <c r="M2648" s="835"/>
      <c r="N2648" s="835"/>
      <c r="O2648" s="835"/>
      <c r="P2648" s="835"/>
      <c r="Q2648" s="540"/>
      <c r="R2648" s="540"/>
      <c r="S2648" s="540"/>
      <c r="T2648" s="540"/>
      <c r="U2648" s="540"/>
      <c r="V2648" s="540"/>
      <c r="W2648" s="540"/>
      <c r="X2648" s="540"/>
      <c r="Y2648" s="540"/>
      <c r="Z2648" s="540"/>
    </row>
    <row r="2649" spans="1:26" ht="19">
      <c r="A2649" s="631"/>
      <c r="B2649" s="631"/>
      <c r="C2649" s="631"/>
      <c r="D2649" s="832"/>
      <c r="E2649" s="631"/>
      <c r="F2649" s="631"/>
      <c r="G2649" s="631"/>
      <c r="H2649" s="833"/>
      <c r="I2649" s="834"/>
      <c r="J2649" s="834"/>
      <c r="K2649" s="835"/>
      <c r="L2649" s="835"/>
      <c r="M2649" s="835"/>
      <c r="N2649" s="835"/>
      <c r="O2649" s="835"/>
      <c r="P2649" s="835"/>
      <c r="Q2649" s="540"/>
      <c r="R2649" s="540"/>
      <c r="S2649" s="540"/>
      <c r="T2649" s="540"/>
      <c r="U2649" s="540"/>
      <c r="V2649" s="540"/>
      <c r="W2649" s="540"/>
      <c r="X2649" s="540"/>
      <c r="Y2649" s="540"/>
      <c r="Z2649" s="540"/>
    </row>
    <row r="2650" spans="1:26" ht="19">
      <c r="A2650" s="631"/>
      <c r="B2650" s="631"/>
      <c r="C2650" s="631"/>
      <c r="D2650" s="832"/>
      <c r="E2650" s="631"/>
      <c r="F2650" s="631"/>
      <c r="G2650" s="631"/>
      <c r="H2650" s="833"/>
      <c r="I2650" s="834"/>
      <c r="J2650" s="834"/>
      <c r="K2650" s="835"/>
      <c r="L2650" s="835"/>
      <c r="M2650" s="835"/>
      <c r="N2650" s="835"/>
      <c r="O2650" s="835"/>
      <c r="P2650" s="835"/>
      <c r="Q2650" s="540"/>
      <c r="R2650" s="540"/>
      <c r="S2650" s="540"/>
      <c r="T2650" s="540"/>
      <c r="U2650" s="540"/>
      <c r="V2650" s="540"/>
      <c r="W2650" s="540"/>
      <c r="X2650" s="540"/>
      <c r="Y2650" s="540"/>
      <c r="Z2650" s="540"/>
    </row>
    <row r="2651" spans="1:26" ht="19">
      <c r="A2651" s="631"/>
      <c r="B2651" s="631"/>
      <c r="C2651" s="631"/>
      <c r="D2651" s="832"/>
      <c r="E2651" s="631"/>
      <c r="F2651" s="631"/>
      <c r="G2651" s="631"/>
      <c r="H2651" s="833"/>
      <c r="I2651" s="834"/>
      <c r="J2651" s="834"/>
      <c r="K2651" s="835"/>
      <c r="L2651" s="835"/>
      <c r="M2651" s="835"/>
      <c r="N2651" s="835"/>
      <c r="O2651" s="835"/>
      <c r="P2651" s="835"/>
      <c r="Q2651" s="540"/>
      <c r="R2651" s="540"/>
      <c r="S2651" s="540"/>
      <c r="T2651" s="540"/>
      <c r="U2651" s="540"/>
      <c r="V2651" s="540"/>
      <c r="W2651" s="540"/>
      <c r="X2651" s="540"/>
      <c r="Y2651" s="540"/>
      <c r="Z2651" s="540"/>
    </row>
    <row r="2652" spans="1:26" ht="19">
      <c r="A2652" s="631"/>
      <c r="B2652" s="631"/>
      <c r="C2652" s="631"/>
      <c r="D2652" s="832"/>
      <c r="E2652" s="631"/>
      <c r="F2652" s="631"/>
      <c r="G2652" s="631"/>
      <c r="H2652" s="833"/>
      <c r="I2652" s="834"/>
      <c r="J2652" s="834"/>
      <c r="K2652" s="835"/>
      <c r="L2652" s="835"/>
      <c r="M2652" s="835"/>
      <c r="N2652" s="835"/>
      <c r="O2652" s="835"/>
      <c r="P2652" s="835"/>
      <c r="Q2652" s="540"/>
      <c r="R2652" s="540"/>
      <c r="S2652" s="540"/>
      <c r="T2652" s="540"/>
      <c r="U2652" s="540"/>
      <c r="V2652" s="540"/>
      <c r="W2652" s="540"/>
      <c r="X2652" s="540"/>
      <c r="Y2652" s="540"/>
      <c r="Z2652" s="540"/>
    </row>
    <row r="2653" spans="1:26" ht="19">
      <c r="A2653" s="631"/>
      <c r="B2653" s="631"/>
      <c r="C2653" s="631"/>
      <c r="D2653" s="832"/>
      <c r="E2653" s="631"/>
      <c r="F2653" s="631"/>
      <c r="G2653" s="631"/>
      <c r="H2653" s="833"/>
      <c r="I2653" s="834"/>
      <c r="J2653" s="834"/>
      <c r="K2653" s="835"/>
      <c r="L2653" s="835"/>
      <c r="M2653" s="835"/>
      <c r="N2653" s="835"/>
      <c r="O2653" s="835"/>
      <c r="P2653" s="835"/>
      <c r="Q2653" s="540"/>
      <c r="R2653" s="540"/>
      <c r="S2653" s="540"/>
      <c r="T2653" s="540"/>
      <c r="U2653" s="540"/>
      <c r="V2653" s="540"/>
      <c r="W2653" s="540"/>
      <c r="X2653" s="540"/>
      <c r="Y2653" s="540"/>
      <c r="Z2653" s="540"/>
    </row>
    <row r="2654" spans="1:26" ht="19">
      <c r="A2654" s="631"/>
      <c r="B2654" s="631"/>
      <c r="C2654" s="631"/>
      <c r="D2654" s="832"/>
      <c r="E2654" s="631"/>
      <c r="F2654" s="631"/>
      <c r="G2654" s="631"/>
      <c r="H2654" s="833"/>
      <c r="I2654" s="834"/>
      <c r="J2654" s="834"/>
      <c r="K2654" s="835"/>
      <c r="L2654" s="835"/>
      <c r="M2654" s="835"/>
      <c r="N2654" s="835"/>
      <c r="O2654" s="835"/>
      <c r="P2654" s="835"/>
      <c r="Q2654" s="540"/>
      <c r="R2654" s="540"/>
      <c r="S2654" s="540"/>
      <c r="T2654" s="540"/>
      <c r="U2654" s="540"/>
      <c r="V2654" s="540"/>
      <c r="W2654" s="540"/>
      <c r="X2654" s="540"/>
      <c r="Y2654" s="540"/>
      <c r="Z2654" s="540"/>
    </row>
    <row r="2655" spans="1:26" ht="19">
      <c r="A2655" s="631"/>
      <c r="B2655" s="631"/>
      <c r="C2655" s="631"/>
      <c r="D2655" s="832"/>
      <c r="E2655" s="631"/>
      <c r="F2655" s="631"/>
      <c r="G2655" s="631"/>
      <c r="H2655" s="833"/>
      <c r="I2655" s="834"/>
      <c r="J2655" s="834"/>
      <c r="K2655" s="835"/>
      <c r="L2655" s="835"/>
      <c r="M2655" s="835"/>
      <c r="N2655" s="835"/>
      <c r="O2655" s="835"/>
      <c r="P2655" s="835"/>
      <c r="Q2655" s="540"/>
      <c r="R2655" s="540"/>
      <c r="S2655" s="540"/>
      <c r="T2655" s="540"/>
      <c r="U2655" s="540"/>
      <c r="V2655" s="540"/>
      <c r="W2655" s="540"/>
      <c r="X2655" s="540"/>
      <c r="Y2655" s="540"/>
      <c r="Z2655" s="540"/>
    </row>
    <row r="2656" spans="1:26" ht="19">
      <c r="A2656" s="631"/>
      <c r="B2656" s="631"/>
      <c r="C2656" s="631"/>
      <c r="D2656" s="832"/>
      <c r="E2656" s="631"/>
      <c r="F2656" s="631"/>
      <c r="G2656" s="631"/>
      <c r="H2656" s="833"/>
      <c r="I2656" s="834"/>
      <c r="J2656" s="834"/>
      <c r="K2656" s="835"/>
      <c r="L2656" s="835"/>
      <c r="M2656" s="835"/>
      <c r="N2656" s="835"/>
      <c r="O2656" s="835"/>
      <c r="P2656" s="835"/>
      <c r="Q2656" s="540"/>
      <c r="R2656" s="540"/>
      <c r="S2656" s="540"/>
      <c r="T2656" s="540"/>
      <c r="U2656" s="540"/>
      <c r="V2656" s="540"/>
      <c r="W2656" s="540"/>
      <c r="X2656" s="540"/>
      <c r="Y2656" s="540"/>
      <c r="Z2656" s="540"/>
    </row>
    <row r="2657" spans="1:26" ht="19">
      <c r="A2657" s="631"/>
      <c r="B2657" s="631"/>
      <c r="C2657" s="631"/>
      <c r="D2657" s="832"/>
      <c r="E2657" s="631"/>
      <c r="F2657" s="631"/>
      <c r="G2657" s="631"/>
      <c r="H2657" s="833"/>
      <c r="I2657" s="834"/>
      <c r="J2657" s="834"/>
      <c r="K2657" s="835"/>
      <c r="L2657" s="835"/>
      <c r="M2657" s="835"/>
      <c r="N2657" s="835"/>
      <c r="O2657" s="835"/>
      <c r="P2657" s="835"/>
      <c r="Q2657" s="540"/>
      <c r="R2657" s="540"/>
      <c r="S2657" s="540"/>
      <c r="T2657" s="540"/>
      <c r="U2657" s="540"/>
      <c r="V2657" s="540"/>
      <c r="W2657" s="540"/>
      <c r="X2657" s="540"/>
      <c r="Y2657" s="540"/>
      <c r="Z2657" s="540"/>
    </row>
    <row r="2658" spans="1:26" ht="19">
      <c r="A2658" s="631"/>
      <c r="B2658" s="631"/>
      <c r="C2658" s="631"/>
      <c r="D2658" s="832"/>
      <c r="E2658" s="631"/>
      <c r="F2658" s="631"/>
      <c r="G2658" s="631"/>
      <c r="H2658" s="833"/>
      <c r="I2658" s="834"/>
      <c r="J2658" s="834"/>
      <c r="K2658" s="835"/>
      <c r="L2658" s="835"/>
      <c r="M2658" s="835"/>
      <c r="N2658" s="835"/>
      <c r="O2658" s="835"/>
      <c r="P2658" s="835"/>
      <c r="Q2658" s="540"/>
      <c r="R2658" s="540"/>
      <c r="S2658" s="540"/>
      <c r="T2658" s="540"/>
      <c r="U2658" s="540"/>
      <c r="V2658" s="540"/>
      <c r="W2658" s="540"/>
      <c r="X2658" s="540"/>
      <c r="Y2658" s="540"/>
      <c r="Z2658" s="540"/>
    </row>
    <row r="2659" spans="1:26" ht="19">
      <c r="A2659" s="631"/>
      <c r="B2659" s="631"/>
      <c r="C2659" s="631"/>
      <c r="D2659" s="832"/>
      <c r="E2659" s="631"/>
      <c r="F2659" s="631"/>
      <c r="G2659" s="631"/>
      <c r="H2659" s="833"/>
      <c r="I2659" s="834"/>
      <c r="J2659" s="834"/>
      <c r="K2659" s="835"/>
      <c r="L2659" s="835"/>
      <c r="M2659" s="835"/>
      <c r="N2659" s="835"/>
      <c r="O2659" s="835"/>
      <c r="P2659" s="835"/>
      <c r="Q2659" s="540"/>
      <c r="R2659" s="540"/>
      <c r="S2659" s="540"/>
      <c r="T2659" s="540"/>
      <c r="U2659" s="540"/>
      <c r="V2659" s="540"/>
      <c r="W2659" s="540"/>
      <c r="X2659" s="540"/>
      <c r="Y2659" s="540"/>
      <c r="Z2659" s="540"/>
    </row>
    <row r="2660" spans="1:26" ht="19">
      <c r="A2660" s="631"/>
      <c r="B2660" s="631"/>
      <c r="C2660" s="631"/>
      <c r="D2660" s="832"/>
      <c r="E2660" s="631"/>
      <c r="F2660" s="631"/>
      <c r="G2660" s="631"/>
      <c r="H2660" s="833"/>
      <c r="I2660" s="834"/>
      <c r="J2660" s="834"/>
      <c r="K2660" s="835"/>
      <c r="L2660" s="835"/>
      <c r="M2660" s="835"/>
      <c r="N2660" s="835"/>
      <c r="O2660" s="835"/>
      <c r="P2660" s="835"/>
      <c r="Q2660" s="540"/>
      <c r="R2660" s="540"/>
      <c r="S2660" s="540"/>
      <c r="T2660" s="540"/>
      <c r="U2660" s="540"/>
      <c r="V2660" s="540"/>
      <c r="W2660" s="540"/>
      <c r="X2660" s="540"/>
      <c r="Y2660" s="540"/>
      <c r="Z2660" s="540"/>
    </row>
    <row r="2661" spans="1:26" ht="19">
      <c r="A2661" s="631"/>
      <c r="B2661" s="631"/>
      <c r="C2661" s="631"/>
      <c r="D2661" s="832"/>
      <c r="E2661" s="631"/>
      <c r="F2661" s="631"/>
      <c r="G2661" s="631"/>
      <c r="H2661" s="833"/>
      <c r="I2661" s="834"/>
      <c r="J2661" s="834"/>
      <c r="K2661" s="835"/>
      <c r="L2661" s="835"/>
      <c r="M2661" s="835"/>
      <c r="N2661" s="835"/>
      <c r="O2661" s="835"/>
      <c r="P2661" s="835"/>
      <c r="Q2661" s="540"/>
      <c r="R2661" s="540"/>
      <c r="S2661" s="540"/>
      <c r="T2661" s="540"/>
      <c r="U2661" s="540"/>
      <c r="V2661" s="540"/>
      <c r="W2661" s="540"/>
      <c r="X2661" s="540"/>
      <c r="Y2661" s="540"/>
      <c r="Z2661" s="540"/>
    </row>
    <row r="2662" spans="1:26" ht="19">
      <c r="A2662" s="631"/>
      <c r="B2662" s="631"/>
      <c r="C2662" s="631"/>
      <c r="D2662" s="832"/>
      <c r="E2662" s="631"/>
      <c r="F2662" s="631"/>
      <c r="G2662" s="631"/>
      <c r="H2662" s="833"/>
      <c r="I2662" s="834"/>
      <c r="J2662" s="834"/>
      <c r="K2662" s="835"/>
      <c r="L2662" s="835"/>
      <c r="M2662" s="835"/>
      <c r="N2662" s="835"/>
      <c r="O2662" s="835"/>
      <c r="P2662" s="835"/>
      <c r="Q2662" s="540"/>
      <c r="R2662" s="540"/>
      <c r="S2662" s="540"/>
      <c r="T2662" s="540"/>
      <c r="U2662" s="540"/>
      <c r="V2662" s="540"/>
      <c r="W2662" s="540"/>
      <c r="X2662" s="540"/>
      <c r="Y2662" s="540"/>
      <c r="Z2662" s="540"/>
    </row>
    <row r="2663" spans="1:26" ht="19">
      <c r="A2663" s="631"/>
      <c r="B2663" s="631"/>
      <c r="C2663" s="631"/>
      <c r="D2663" s="832"/>
      <c r="E2663" s="631"/>
      <c r="F2663" s="631"/>
      <c r="G2663" s="631"/>
      <c r="H2663" s="833"/>
      <c r="I2663" s="834"/>
      <c r="J2663" s="834"/>
      <c r="K2663" s="835"/>
      <c r="L2663" s="835"/>
      <c r="M2663" s="835"/>
      <c r="N2663" s="835"/>
      <c r="O2663" s="835"/>
      <c r="P2663" s="835"/>
      <c r="Q2663" s="540"/>
      <c r="R2663" s="540"/>
      <c r="S2663" s="540"/>
      <c r="T2663" s="540"/>
      <c r="U2663" s="540"/>
      <c r="V2663" s="540"/>
      <c r="W2663" s="540"/>
      <c r="X2663" s="540"/>
      <c r="Y2663" s="540"/>
      <c r="Z2663" s="540"/>
    </row>
    <row r="2664" spans="1:26" ht="19">
      <c r="A2664" s="631"/>
      <c r="B2664" s="631"/>
      <c r="C2664" s="631"/>
      <c r="D2664" s="832"/>
      <c r="E2664" s="631"/>
      <c r="F2664" s="631"/>
      <c r="G2664" s="631"/>
      <c r="H2664" s="833"/>
      <c r="I2664" s="834"/>
      <c r="J2664" s="834"/>
      <c r="K2664" s="835"/>
      <c r="L2664" s="835"/>
      <c r="M2664" s="835"/>
      <c r="N2664" s="835"/>
      <c r="O2664" s="835"/>
      <c r="P2664" s="835"/>
      <c r="Q2664" s="540"/>
      <c r="R2664" s="540"/>
      <c r="S2664" s="540"/>
      <c r="T2664" s="540"/>
      <c r="U2664" s="540"/>
      <c r="V2664" s="540"/>
      <c r="W2664" s="540"/>
      <c r="X2664" s="540"/>
      <c r="Y2664" s="540"/>
      <c r="Z2664" s="540"/>
    </row>
    <row r="2665" spans="1:26" ht="19">
      <c r="A2665" s="631"/>
      <c r="B2665" s="631"/>
      <c r="C2665" s="631"/>
      <c r="D2665" s="832"/>
      <c r="E2665" s="631"/>
      <c r="F2665" s="631"/>
      <c r="G2665" s="631"/>
      <c r="H2665" s="833"/>
      <c r="I2665" s="834"/>
      <c r="J2665" s="834"/>
      <c r="K2665" s="835"/>
      <c r="L2665" s="835"/>
      <c r="M2665" s="835"/>
      <c r="N2665" s="835"/>
      <c r="O2665" s="835"/>
      <c r="P2665" s="835"/>
      <c r="Q2665" s="540"/>
      <c r="R2665" s="540"/>
      <c r="S2665" s="540"/>
      <c r="T2665" s="540"/>
      <c r="U2665" s="540"/>
      <c r="V2665" s="540"/>
      <c r="W2665" s="540"/>
      <c r="X2665" s="540"/>
      <c r="Y2665" s="540"/>
      <c r="Z2665" s="540"/>
    </row>
    <row r="2666" spans="1:26" ht="19">
      <c r="A2666" s="631"/>
      <c r="B2666" s="631"/>
      <c r="C2666" s="631"/>
      <c r="D2666" s="832"/>
      <c r="E2666" s="631"/>
      <c r="F2666" s="631"/>
      <c r="G2666" s="631"/>
      <c r="H2666" s="833"/>
      <c r="I2666" s="834"/>
      <c r="J2666" s="834"/>
      <c r="K2666" s="835"/>
      <c r="L2666" s="835"/>
      <c r="M2666" s="835"/>
      <c r="N2666" s="835"/>
      <c r="O2666" s="835"/>
      <c r="P2666" s="835"/>
      <c r="Q2666" s="540"/>
      <c r="R2666" s="540"/>
      <c r="S2666" s="540"/>
      <c r="T2666" s="540"/>
      <c r="U2666" s="540"/>
      <c r="V2666" s="540"/>
      <c r="W2666" s="540"/>
      <c r="X2666" s="540"/>
      <c r="Y2666" s="540"/>
      <c r="Z2666" s="540"/>
    </row>
    <row r="2667" spans="1:26" ht="19">
      <c r="A2667" s="631"/>
      <c r="B2667" s="631"/>
      <c r="C2667" s="631"/>
      <c r="D2667" s="832"/>
      <c r="E2667" s="631"/>
      <c r="F2667" s="631"/>
      <c r="G2667" s="631"/>
      <c r="H2667" s="833"/>
      <c r="I2667" s="834"/>
      <c r="J2667" s="834"/>
      <c r="K2667" s="835"/>
      <c r="L2667" s="835"/>
      <c r="M2667" s="835"/>
      <c r="N2667" s="835"/>
      <c r="O2667" s="835"/>
      <c r="P2667" s="835"/>
      <c r="Q2667" s="540"/>
      <c r="R2667" s="540"/>
      <c r="S2667" s="540"/>
      <c r="T2667" s="540"/>
      <c r="U2667" s="540"/>
      <c r="V2667" s="540"/>
      <c r="W2667" s="540"/>
      <c r="X2667" s="540"/>
      <c r="Y2667" s="540"/>
      <c r="Z2667" s="540"/>
    </row>
    <row r="2668" spans="1:26" ht="19">
      <c r="A2668" s="631"/>
      <c r="B2668" s="631"/>
      <c r="C2668" s="631"/>
      <c r="D2668" s="832"/>
      <c r="E2668" s="631"/>
      <c r="F2668" s="631"/>
      <c r="G2668" s="631"/>
      <c r="H2668" s="833"/>
      <c r="I2668" s="834"/>
      <c r="J2668" s="834"/>
      <c r="K2668" s="835"/>
      <c r="L2668" s="835"/>
      <c r="M2668" s="835"/>
      <c r="N2668" s="835"/>
      <c r="O2668" s="835"/>
      <c r="P2668" s="835"/>
      <c r="Q2668" s="540"/>
      <c r="R2668" s="540"/>
      <c r="S2668" s="540"/>
      <c r="T2668" s="540"/>
      <c r="U2668" s="540"/>
      <c r="V2668" s="540"/>
      <c r="W2668" s="540"/>
      <c r="X2668" s="540"/>
      <c r="Y2668" s="540"/>
      <c r="Z2668" s="540"/>
    </row>
    <row r="2669" spans="1:26" ht="19">
      <c r="A2669" s="631"/>
      <c r="B2669" s="631"/>
      <c r="C2669" s="631"/>
      <c r="D2669" s="832"/>
      <c r="E2669" s="631"/>
      <c r="F2669" s="631"/>
      <c r="G2669" s="631"/>
      <c r="H2669" s="833"/>
      <c r="I2669" s="834"/>
      <c r="J2669" s="834"/>
      <c r="K2669" s="835"/>
      <c r="L2669" s="835"/>
      <c r="M2669" s="835"/>
      <c r="N2669" s="835"/>
      <c r="O2669" s="835"/>
      <c r="P2669" s="835"/>
      <c r="Q2669" s="540"/>
      <c r="R2669" s="540"/>
      <c r="S2669" s="540"/>
      <c r="T2669" s="540"/>
      <c r="U2669" s="540"/>
      <c r="V2669" s="540"/>
      <c r="W2669" s="540"/>
      <c r="X2669" s="540"/>
      <c r="Y2669" s="540"/>
      <c r="Z2669" s="540"/>
    </row>
    <row r="2670" spans="1:26" ht="19">
      <c r="A2670" s="631"/>
      <c r="B2670" s="631"/>
      <c r="C2670" s="631"/>
      <c r="D2670" s="832"/>
      <c r="E2670" s="631"/>
      <c r="F2670" s="631"/>
      <c r="G2670" s="631"/>
      <c r="H2670" s="833"/>
      <c r="I2670" s="834"/>
      <c r="J2670" s="834"/>
      <c r="K2670" s="835"/>
      <c r="L2670" s="835"/>
      <c r="M2670" s="835"/>
      <c r="N2670" s="835"/>
      <c r="O2670" s="835"/>
      <c r="P2670" s="835"/>
      <c r="Q2670" s="540"/>
      <c r="R2670" s="540"/>
      <c r="S2670" s="540"/>
      <c r="T2670" s="540"/>
      <c r="U2670" s="540"/>
      <c r="V2670" s="540"/>
      <c r="W2670" s="540"/>
      <c r="X2670" s="540"/>
      <c r="Y2670" s="540"/>
      <c r="Z2670" s="540"/>
    </row>
    <row r="2671" spans="1:26" ht="19">
      <c r="A2671" s="631"/>
      <c r="B2671" s="631"/>
      <c r="C2671" s="631"/>
      <c r="D2671" s="832"/>
      <c r="E2671" s="631"/>
      <c r="F2671" s="631"/>
      <c r="G2671" s="631"/>
      <c r="H2671" s="833"/>
      <c r="I2671" s="834"/>
      <c r="J2671" s="834"/>
      <c r="K2671" s="835"/>
      <c r="L2671" s="835"/>
      <c r="M2671" s="835"/>
      <c r="N2671" s="835"/>
      <c r="O2671" s="835"/>
      <c r="P2671" s="835"/>
      <c r="Q2671" s="540"/>
      <c r="R2671" s="540"/>
      <c r="S2671" s="540"/>
      <c r="T2671" s="540"/>
      <c r="U2671" s="540"/>
      <c r="V2671" s="540"/>
      <c r="W2671" s="540"/>
      <c r="X2671" s="540"/>
      <c r="Y2671" s="540"/>
      <c r="Z2671" s="540"/>
    </row>
    <row r="2672" spans="1:26" ht="19">
      <c r="A2672" s="631"/>
      <c r="B2672" s="631"/>
      <c r="C2672" s="631"/>
      <c r="D2672" s="832"/>
      <c r="E2672" s="631"/>
      <c r="F2672" s="631"/>
      <c r="G2672" s="631"/>
      <c r="H2672" s="833"/>
      <c r="I2672" s="834"/>
      <c r="J2672" s="834"/>
      <c r="K2672" s="835"/>
      <c r="L2672" s="835"/>
      <c r="M2672" s="835"/>
      <c r="N2672" s="835"/>
      <c r="O2672" s="835"/>
      <c r="P2672" s="835"/>
      <c r="Q2672" s="540"/>
      <c r="R2672" s="540"/>
      <c r="S2672" s="540"/>
      <c r="T2672" s="540"/>
      <c r="U2672" s="540"/>
      <c r="V2672" s="540"/>
      <c r="W2672" s="540"/>
      <c r="X2672" s="540"/>
      <c r="Y2672" s="540"/>
      <c r="Z2672" s="540"/>
    </row>
    <row r="2673" spans="1:26" ht="19">
      <c r="A2673" s="631"/>
      <c r="B2673" s="631"/>
      <c r="C2673" s="631"/>
      <c r="D2673" s="832"/>
      <c r="E2673" s="631"/>
      <c r="F2673" s="631"/>
      <c r="G2673" s="631"/>
      <c r="H2673" s="833"/>
      <c r="I2673" s="834"/>
      <c r="J2673" s="834"/>
      <c r="K2673" s="835"/>
      <c r="L2673" s="835"/>
      <c r="M2673" s="835"/>
      <c r="N2673" s="835"/>
      <c r="O2673" s="835"/>
      <c r="P2673" s="835"/>
      <c r="Q2673" s="540"/>
      <c r="R2673" s="540"/>
      <c r="S2673" s="540"/>
      <c r="T2673" s="540"/>
      <c r="U2673" s="540"/>
      <c r="V2673" s="540"/>
      <c r="W2673" s="540"/>
      <c r="X2673" s="540"/>
      <c r="Y2673" s="540"/>
      <c r="Z2673" s="540"/>
    </row>
    <row r="2674" spans="1:26" ht="19">
      <c r="A2674" s="631"/>
      <c r="B2674" s="631"/>
      <c r="C2674" s="631"/>
      <c r="D2674" s="832"/>
      <c r="E2674" s="631"/>
      <c r="F2674" s="631"/>
      <c r="G2674" s="631"/>
      <c r="H2674" s="833"/>
      <c r="I2674" s="834"/>
      <c r="J2674" s="834"/>
      <c r="K2674" s="835"/>
      <c r="L2674" s="835"/>
      <c r="M2674" s="835"/>
      <c r="N2674" s="835"/>
      <c r="O2674" s="835"/>
      <c r="P2674" s="835"/>
      <c r="Q2674" s="540"/>
      <c r="R2674" s="540"/>
      <c r="S2674" s="540"/>
      <c r="T2674" s="540"/>
      <c r="U2674" s="540"/>
      <c r="V2674" s="540"/>
      <c r="W2674" s="540"/>
      <c r="X2674" s="540"/>
      <c r="Y2674" s="540"/>
      <c r="Z2674" s="540"/>
    </row>
    <row r="2675" spans="1:26" ht="19">
      <c r="A2675" s="631"/>
      <c r="B2675" s="631"/>
      <c r="C2675" s="631"/>
      <c r="D2675" s="832"/>
      <c r="E2675" s="631"/>
      <c r="F2675" s="631"/>
      <c r="G2675" s="631"/>
      <c r="H2675" s="833"/>
      <c r="I2675" s="834"/>
      <c r="J2675" s="834"/>
      <c r="K2675" s="835"/>
      <c r="L2675" s="835"/>
      <c r="M2675" s="835"/>
      <c r="N2675" s="835"/>
      <c r="O2675" s="835"/>
      <c r="P2675" s="835"/>
      <c r="Q2675" s="540"/>
      <c r="R2675" s="540"/>
      <c r="S2675" s="540"/>
      <c r="T2675" s="540"/>
      <c r="U2675" s="540"/>
      <c r="V2675" s="540"/>
      <c r="W2675" s="540"/>
      <c r="X2675" s="540"/>
      <c r="Y2675" s="540"/>
      <c r="Z2675" s="540"/>
    </row>
    <row r="2676" spans="1:26" ht="19">
      <c r="A2676" s="631"/>
      <c r="B2676" s="631"/>
      <c r="C2676" s="631"/>
      <c r="D2676" s="832"/>
      <c r="E2676" s="631"/>
      <c r="F2676" s="631"/>
      <c r="G2676" s="631"/>
      <c r="H2676" s="833"/>
      <c r="I2676" s="834"/>
      <c r="J2676" s="834"/>
      <c r="K2676" s="835"/>
      <c r="L2676" s="835"/>
      <c r="M2676" s="835"/>
      <c r="N2676" s="835"/>
      <c r="O2676" s="835"/>
      <c r="P2676" s="835"/>
      <c r="Q2676" s="540"/>
      <c r="R2676" s="540"/>
      <c r="S2676" s="540"/>
      <c r="T2676" s="540"/>
      <c r="U2676" s="540"/>
      <c r="V2676" s="540"/>
      <c r="W2676" s="540"/>
      <c r="X2676" s="540"/>
      <c r="Y2676" s="540"/>
      <c r="Z2676" s="540"/>
    </row>
    <row r="2677" spans="1:26" ht="19">
      <c r="A2677" s="631"/>
      <c r="B2677" s="631"/>
      <c r="C2677" s="631"/>
      <c r="D2677" s="832"/>
      <c r="E2677" s="631"/>
      <c r="F2677" s="631"/>
      <c r="G2677" s="631"/>
      <c r="H2677" s="833"/>
      <c r="I2677" s="834"/>
      <c r="J2677" s="834"/>
      <c r="K2677" s="835"/>
      <c r="L2677" s="835"/>
      <c r="M2677" s="835"/>
      <c r="N2677" s="835"/>
      <c r="O2677" s="835"/>
      <c r="P2677" s="835"/>
      <c r="Q2677" s="540"/>
      <c r="R2677" s="540"/>
      <c r="S2677" s="540"/>
      <c r="T2677" s="540"/>
      <c r="U2677" s="540"/>
      <c r="V2677" s="540"/>
      <c r="W2677" s="540"/>
      <c r="X2677" s="540"/>
      <c r="Y2677" s="540"/>
      <c r="Z2677" s="540"/>
    </row>
    <row r="2678" spans="1:26" ht="19">
      <c r="A2678" s="631"/>
      <c r="B2678" s="631"/>
      <c r="C2678" s="631"/>
      <c r="D2678" s="832"/>
      <c r="E2678" s="631"/>
      <c r="F2678" s="631"/>
      <c r="G2678" s="631"/>
      <c r="H2678" s="833"/>
      <c r="I2678" s="834"/>
      <c r="J2678" s="834"/>
      <c r="K2678" s="835"/>
      <c r="L2678" s="835"/>
      <c r="M2678" s="835"/>
      <c r="N2678" s="835"/>
      <c r="O2678" s="835"/>
      <c r="P2678" s="835"/>
      <c r="Q2678" s="540"/>
      <c r="R2678" s="540"/>
      <c r="S2678" s="540"/>
      <c r="T2678" s="540"/>
      <c r="U2678" s="540"/>
      <c r="V2678" s="540"/>
      <c r="W2678" s="540"/>
      <c r="X2678" s="540"/>
      <c r="Y2678" s="540"/>
      <c r="Z2678" s="540"/>
    </row>
    <row r="2679" spans="1:26" ht="19">
      <c r="A2679" s="631"/>
      <c r="B2679" s="631"/>
      <c r="C2679" s="631"/>
      <c r="D2679" s="832"/>
      <c r="E2679" s="631"/>
      <c r="F2679" s="631"/>
      <c r="G2679" s="631"/>
      <c r="H2679" s="833"/>
      <c r="I2679" s="834"/>
      <c r="J2679" s="834"/>
      <c r="K2679" s="835"/>
      <c r="L2679" s="835"/>
      <c r="M2679" s="835"/>
      <c r="N2679" s="835"/>
      <c r="O2679" s="835"/>
      <c r="P2679" s="835"/>
      <c r="Q2679" s="540"/>
      <c r="R2679" s="540"/>
      <c r="S2679" s="540"/>
      <c r="T2679" s="540"/>
      <c r="U2679" s="540"/>
      <c r="V2679" s="540"/>
      <c r="W2679" s="540"/>
      <c r="X2679" s="540"/>
      <c r="Y2679" s="540"/>
      <c r="Z2679" s="540"/>
    </row>
    <row r="2680" spans="1:26" ht="19">
      <c r="A2680" s="631"/>
      <c r="B2680" s="631"/>
      <c r="C2680" s="631"/>
      <c r="D2680" s="832"/>
      <c r="E2680" s="631"/>
      <c r="F2680" s="631"/>
      <c r="G2680" s="631"/>
      <c r="H2680" s="833"/>
      <c r="I2680" s="834"/>
      <c r="J2680" s="834"/>
      <c r="K2680" s="835"/>
      <c r="L2680" s="835"/>
      <c r="M2680" s="835"/>
      <c r="N2680" s="835"/>
      <c r="O2680" s="835"/>
      <c r="P2680" s="835"/>
      <c r="Q2680" s="540"/>
      <c r="R2680" s="540"/>
      <c r="S2680" s="540"/>
      <c r="T2680" s="540"/>
      <c r="U2680" s="540"/>
      <c r="V2680" s="540"/>
      <c r="W2680" s="540"/>
      <c r="X2680" s="540"/>
      <c r="Y2680" s="540"/>
      <c r="Z2680" s="540"/>
    </row>
    <row r="2681" spans="1:26" ht="19">
      <c r="A2681" s="631"/>
      <c r="B2681" s="631"/>
      <c r="C2681" s="631"/>
      <c r="D2681" s="832"/>
      <c r="E2681" s="631"/>
      <c r="F2681" s="631"/>
      <c r="G2681" s="631"/>
      <c r="H2681" s="833"/>
      <c r="I2681" s="834"/>
      <c r="J2681" s="834"/>
      <c r="K2681" s="835"/>
      <c r="L2681" s="835"/>
      <c r="M2681" s="835"/>
      <c r="N2681" s="835"/>
      <c r="O2681" s="835"/>
      <c r="P2681" s="835"/>
      <c r="Q2681" s="540"/>
      <c r="R2681" s="540"/>
      <c r="S2681" s="540"/>
      <c r="T2681" s="540"/>
      <c r="U2681" s="540"/>
      <c r="V2681" s="540"/>
      <c r="W2681" s="540"/>
      <c r="X2681" s="540"/>
      <c r="Y2681" s="540"/>
      <c r="Z2681" s="540"/>
    </row>
    <row r="2682" spans="1:26" ht="19">
      <c r="A2682" s="631"/>
      <c r="B2682" s="631"/>
      <c r="C2682" s="631"/>
      <c r="D2682" s="832"/>
      <c r="E2682" s="631"/>
      <c r="F2682" s="631"/>
      <c r="G2682" s="631"/>
      <c r="H2682" s="833"/>
      <c r="I2682" s="834"/>
      <c r="J2682" s="834"/>
      <c r="K2682" s="835"/>
      <c r="L2682" s="835"/>
      <c r="M2682" s="835"/>
      <c r="N2682" s="835"/>
      <c r="O2682" s="835"/>
      <c r="P2682" s="835"/>
      <c r="Q2682" s="540"/>
      <c r="R2682" s="540"/>
      <c r="S2682" s="540"/>
      <c r="T2682" s="540"/>
      <c r="U2682" s="540"/>
      <c r="V2682" s="540"/>
      <c r="W2682" s="540"/>
      <c r="X2682" s="540"/>
      <c r="Y2682" s="540"/>
      <c r="Z2682" s="540"/>
    </row>
    <row r="2683" spans="1:26" ht="19">
      <c r="A2683" s="631"/>
      <c r="B2683" s="631"/>
      <c r="C2683" s="631"/>
      <c r="D2683" s="832"/>
      <c r="E2683" s="631"/>
      <c r="F2683" s="631"/>
      <c r="G2683" s="631"/>
      <c r="H2683" s="833"/>
      <c r="I2683" s="834"/>
      <c r="J2683" s="834"/>
      <c r="K2683" s="835"/>
      <c r="L2683" s="835"/>
      <c r="M2683" s="835"/>
      <c r="N2683" s="835"/>
      <c r="O2683" s="835"/>
      <c r="P2683" s="835"/>
      <c r="Q2683" s="540"/>
      <c r="R2683" s="540"/>
      <c r="S2683" s="540"/>
      <c r="T2683" s="540"/>
      <c r="U2683" s="540"/>
      <c r="V2683" s="540"/>
      <c r="W2683" s="540"/>
      <c r="X2683" s="540"/>
      <c r="Y2683" s="540"/>
      <c r="Z2683" s="540"/>
    </row>
    <row r="2684" spans="1:26" ht="19">
      <c r="A2684" s="631"/>
      <c r="B2684" s="631"/>
      <c r="C2684" s="631"/>
      <c r="D2684" s="832"/>
      <c r="E2684" s="631"/>
      <c r="F2684" s="631"/>
      <c r="G2684" s="631"/>
      <c r="H2684" s="833"/>
      <c r="I2684" s="834"/>
      <c r="J2684" s="834"/>
      <c r="K2684" s="835"/>
      <c r="L2684" s="835"/>
      <c r="M2684" s="835"/>
      <c r="N2684" s="835"/>
      <c r="O2684" s="835"/>
      <c r="P2684" s="835"/>
      <c r="Q2684" s="540"/>
      <c r="R2684" s="540"/>
      <c r="S2684" s="540"/>
      <c r="T2684" s="540"/>
      <c r="U2684" s="540"/>
      <c r="V2684" s="540"/>
      <c r="W2684" s="540"/>
      <c r="X2684" s="540"/>
      <c r="Y2684" s="540"/>
      <c r="Z2684" s="540"/>
    </row>
    <row r="2685" spans="1:26" ht="19">
      <c r="A2685" s="631"/>
      <c r="B2685" s="631"/>
      <c r="C2685" s="631"/>
      <c r="D2685" s="832"/>
      <c r="E2685" s="631"/>
      <c r="F2685" s="631"/>
      <c r="G2685" s="631"/>
      <c r="H2685" s="833"/>
      <c r="I2685" s="834"/>
      <c r="J2685" s="834"/>
      <c r="K2685" s="835"/>
      <c r="L2685" s="835"/>
      <c r="M2685" s="835"/>
      <c r="N2685" s="835"/>
      <c r="O2685" s="835"/>
      <c r="P2685" s="835"/>
      <c r="Q2685" s="540"/>
      <c r="R2685" s="540"/>
      <c r="S2685" s="540"/>
      <c r="T2685" s="540"/>
      <c r="U2685" s="540"/>
      <c r="V2685" s="540"/>
      <c r="W2685" s="540"/>
      <c r="X2685" s="540"/>
      <c r="Y2685" s="540"/>
      <c r="Z2685" s="540"/>
    </row>
    <row r="2686" spans="1:26" ht="19">
      <c r="A2686" s="631"/>
      <c r="B2686" s="631"/>
      <c r="C2686" s="631"/>
      <c r="D2686" s="832"/>
      <c r="E2686" s="631"/>
      <c r="F2686" s="631"/>
      <c r="G2686" s="631"/>
      <c r="H2686" s="833"/>
      <c r="I2686" s="834"/>
      <c r="J2686" s="834"/>
      <c r="K2686" s="835"/>
      <c r="L2686" s="835"/>
      <c r="M2686" s="835"/>
      <c r="N2686" s="835"/>
      <c r="O2686" s="835"/>
      <c r="P2686" s="835"/>
      <c r="Q2686" s="540"/>
      <c r="R2686" s="540"/>
      <c r="S2686" s="540"/>
      <c r="T2686" s="540"/>
      <c r="U2686" s="540"/>
      <c r="V2686" s="540"/>
      <c r="W2686" s="540"/>
      <c r="X2686" s="540"/>
      <c r="Y2686" s="540"/>
      <c r="Z2686" s="540"/>
    </row>
    <row r="2687" spans="1:26" ht="19">
      <c r="A2687" s="631"/>
      <c r="B2687" s="631"/>
      <c r="C2687" s="631"/>
      <c r="D2687" s="832"/>
      <c r="E2687" s="631"/>
      <c r="F2687" s="631"/>
      <c r="G2687" s="631"/>
      <c r="H2687" s="833"/>
      <c r="I2687" s="834"/>
      <c r="J2687" s="834"/>
      <c r="K2687" s="835"/>
      <c r="L2687" s="835"/>
      <c r="M2687" s="835"/>
      <c r="N2687" s="835"/>
      <c r="O2687" s="835"/>
      <c r="P2687" s="835"/>
      <c r="Q2687" s="540"/>
      <c r="R2687" s="540"/>
      <c r="S2687" s="540"/>
      <c r="T2687" s="540"/>
      <c r="U2687" s="540"/>
      <c r="V2687" s="540"/>
      <c r="W2687" s="540"/>
      <c r="X2687" s="540"/>
      <c r="Y2687" s="540"/>
      <c r="Z2687" s="540"/>
    </row>
    <row r="2688" spans="1:26" ht="19">
      <c r="A2688" s="631"/>
      <c r="B2688" s="631"/>
      <c r="C2688" s="631"/>
      <c r="D2688" s="832"/>
      <c r="E2688" s="631"/>
      <c r="F2688" s="631"/>
      <c r="G2688" s="631"/>
      <c r="H2688" s="833"/>
      <c r="I2688" s="834"/>
      <c r="J2688" s="834"/>
      <c r="K2688" s="835"/>
      <c r="L2688" s="835"/>
      <c r="M2688" s="835"/>
      <c r="N2688" s="835"/>
      <c r="O2688" s="835"/>
      <c r="P2688" s="835"/>
      <c r="Q2688" s="540"/>
      <c r="R2688" s="540"/>
      <c r="S2688" s="540"/>
      <c r="T2688" s="540"/>
      <c r="U2688" s="540"/>
      <c r="V2688" s="540"/>
      <c r="W2688" s="540"/>
      <c r="X2688" s="540"/>
      <c r="Y2688" s="540"/>
      <c r="Z2688" s="540"/>
    </row>
    <row r="2689" spans="1:26" ht="19">
      <c r="A2689" s="631"/>
      <c r="B2689" s="631"/>
      <c r="C2689" s="631"/>
      <c r="D2689" s="832"/>
      <c r="E2689" s="631"/>
      <c r="F2689" s="631"/>
      <c r="G2689" s="631"/>
      <c r="H2689" s="833"/>
      <c r="I2689" s="834"/>
      <c r="J2689" s="834"/>
      <c r="K2689" s="835"/>
      <c r="L2689" s="835"/>
      <c r="M2689" s="835"/>
      <c r="N2689" s="835"/>
      <c r="O2689" s="835"/>
      <c r="P2689" s="835"/>
      <c r="Q2689" s="540"/>
      <c r="R2689" s="540"/>
      <c r="S2689" s="540"/>
      <c r="T2689" s="540"/>
      <c r="U2689" s="540"/>
      <c r="V2689" s="540"/>
      <c r="W2689" s="540"/>
      <c r="X2689" s="540"/>
      <c r="Y2689" s="540"/>
      <c r="Z2689" s="540"/>
    </row>
    <row r="2690" spans="1:26" ht="19">
      <c r="A2690" s="631"/>
      <c r="B2690" s="631"/>
      <c r="C2690" s="631"/>
      <c r="D2690" s="832"/>
      <c r="E2690" s="631"/>
      <c r="F2690" s="631"/>
      <c r="G2690" s="631"/>
      <c r="H2690" s="833"/>
      <c r="I2690" s="834"/>
      <c r="J2690" s="834"/>
      <c r="K2690" s="835"/>
      <c r="L2690" s="835"/>
      <c r="M2690" s="835"/>
      <c r="N2690" s="835"/>
      <c r="O2690" s="835"/>
      <c r="P2690" s="835"/>
      <c r="Q2690" s="540"/>
      <c r="R2690" s="540"/>
      <c r="S2690" s="540"/>
      <c r="T2690" s="540"/>
      <c r="U2690" s="540"/>
      <c r="V2690" s="540"/>
      <c r="W2690" s="540"/>
      <c r="X2690" s="540"/>
      <c r="Y2690" s="540"/>
      <c r="Z2690" s="540"/>
    </row>
    <row r="2691" spans="1:26" ht="19">
      <c r="A2691" s="631"/>
      <c r="B2691" s="631"/>
      <c r="C2691" s="631"/>
      <c r="D2691" s="832"/>
      <c r="E2691" s="631"/>
      <c r="F2691" s="631"/>
      <c r="G2691" s="631"/>
      <c r="H2691" s="833"/>
      <c r="I2691" s="834"/>
      <c r="J2691" s="834"/>
      <c r="K2691" s="835"/>
      <c r="L2691" s="835"/>
      <c r="M2691" s="835"/>
      <c r="N2691" s="835"/>
      <c r="O2691" s="835"/>
      <c r="P2691" s="835"/>
      <c r="Q2691" s="540"/>
      <c r="R2691" s="540"/>
      <c r="S2691" s="540"/>
      <c r="T2691" s="540"/>
      <c r="U2691" s="540"/>
      <c r="V2691" s="540"/>
      <c r="W2691" s="540"/>
      <c r="X2691" s="540"/>
      <c r="Y2691" s="540"/>
      <c r="Z2691" s="540"/>
    </row>
    <row r="2692" spans="1:26" ht="19">
      <c r="A2692" s="631"/>
      <c r="B2692" s="631"/>
      <c r="C2692" s="631"/>
      <c r="D2692" s="832"/>
      <c r="E2692" s="631"/>
      <c r="F2692" s="631"/>
      <c r="G2692" s="631"/>
      <c r="H2692" s="833"/>
      <c r="I2692" s="834"/>
      <c r="J2692" s="834"/>
      <c r="K2692" s="835"/>
      <c r="L2692" s="835"/>
      <c r="M2692" s="835"/>
      <c r="N2692" s="835"/>
      <c r="O2692" s="835"/>
      <c r="P2692" s="835"/>
      <c r="Q2692" s="540"/>
      <c r="R2692" s="540"/>
      <c r="S2692" s="540"/>
      <c r="T2692" s="540"/>
      <c r="U2692" s="540"/>
      <c r="V2692" s="540"/>
      <c r="W2692" s="540"/>
      <c r="X2692" s="540"/>
      <c r="Y2692" s="540"/>
      <c r="Z2692" s="540"/>
    </row>
    <row r="2693" spans="1:26" ht="19">
      <c r="A2693" s="631"/>
      <c r="B2693" s="631"/>
      <c r="C2693" s="631"/>
      <c r="D2693" s="832"/>
      <c r="E2693" s="631"/>
      <c r="F2693" s="631"/>
      <c r="G2693" s="631"/>
      <c r="H2693" s="833"/>
      <c r="I2693" s="834"/>
      <c r="J2693" s="834"/>
      <c r="K2693" s="835"/>
      <c r="L2693" s="835"/>
      <c r="M2693" s="835"/>
      <c r="N2693" s="835"/>
      <c r="O2693" s="835"/>
      <c r="P2693" s="835"/>
      <c r="Q2693" s="540"/>
      <c r="R2693" s="540"/>
      <c r="S2693" s="540"/>
      <c r="T2693" s="540"/>
      <c r="U2693" s="540"/>
      <c r="V2693" s="540"/>
      <c r="W2693" s="540"/>
      <c r="X2693" s="540"/>
      <c r="Y2693" s="540"/>
      <c r="Z2693" s="540"/>
    </row>
    <row r="2694" spans="1:26" ht="19">
      <c r="A2694" s="631"/>
      <c r="B2694" s="631"/>
      <c r="C2694" s="631"/>
      <c r="D2694" s="832"/>
      <c r="E2694" s="631"/>
      <c r="F2694" s="631"/>
      <c r="G2694" s="631"/>
      <c r="H2694" s="833"/>
      <c r="I2694" s="834"/>
      <c r="J2694" s="834"/>
      <c r="K2694" s="835"/>
      <c r="L2694" s="835"/>
      <c r="M2694" s="835"/>
      <c r="N2694" s="835"/>
      <c r="O2694" s="835"/>
      <c r="P2694" s="835"/>
      <c r="Q2694" s="540"/>
      <c r="R2694" s="540"/>
      <c r="S2694" s="540"/>
      <c r="T2694" s="540"/>
      <c r="U2694" s="540"/>
      <c r="V2694" s="540"/>
      <c r="W2694" s="540"/>
      <c r="X2694" s="540"/>
      <c r="Y2694" s="540"/>
      <c r="Z2694" s="540"/>
    </row>
    <row r="2695" spans="1:26" ht="19">
      <c r="A2695" s="631"/>
      <c r="B2695" s="631"/>
      <c r="C2695" s="631"/>
      <c r="D2695" s="832"/>
      <c r="E2695" s="631"/>
      <c r="F2695" s="631"/>
      <c r="G2695" s="631"/>
      <c r="H2695" s="833"/>
      <c r="I2695" s="834"/>
      <c r="J2695" s="834"/>
      <c r="K2695" s="835"/>
      <c r="L2695" s="835"/>
      <c r="M2695" s="835"/>
      <c r="N2695" s="835"/>
      <c r="O2695" s="835"/>
      <c r="P2695" s="835"/>
      <c r="Q2695" s="540"/>
      <c r="R2695" s="540"/>
      <c r="S2695" s="540"/>
      <c r="T2695" s="540"/>
      <c r="U2695" s="540"/>
      <c r="V2695" s="540"/>
      <c r="W2695" s="540"/>
      <c r="X2695" s="540"/>
      <c r="Y2695" s="540"/>
      <c r="Z2695" s="540"/>
    </row>
    <row r="2696" spans="1:26" ht="19">
      <c r="A2696" s="631"/>
      <c r="B2696" s="631"/>
      <c r="C2696" s="631"/>
      <c r="D2696" s="832"/>
      <c r="E2696" s="631"/>
      <c r="F2696" s="631"/>
      <c r="G2696" s="631"/>
      <c r="H2696" s="833"/>
      <c r="I2696" s="834"/>
      <c r="J2696" s="834"/>
      <c r="K2696" s="835"/>
      <c r="L2696" s="835"/>
      <c r="M2696" s="835"/>
      <c r="N2696" s="835"/>
      <c r="O2696" s="835"/>
      <c r="P2696" s="835"/>
      <c r="Q2696" s="540"/>
      <c r="R2696" s="540"/>
      <c r="S2696" s="540"/>
      <c r="T2696" s="540"/>
      <c r="U2696" s="540"/>
      <c r="V2696" s="540"/>
      <c r="W2696" s="540"/>
      <c r="X2696" s="540"/>
      <c r="Y2696" s="540"/>
      <c r="Z2696" s="540"/>
    </row>
    <row r="2697" spans="1:26" ht="19">
      <c r="A2697" s="631"/>
      <c r="B2697" s="631"/>
      <c r="C2697" s="631"/>
      <c r="D2697" s="832"/>
      <c r="E2697" s="631"/>
      <c r="F2697" s="631"/>
      <c r="G2697" s="631"/>
      <c r="H2697" s="833"/>
      <c r="I2697" s="834"/>
      <c r="J2697" s="834"/>
      <c r="K2697" s="835"/>
      <c r="L2697" s="835"/>
      <c r="M2697" s="835"/>
      <c r="N2697" s="835"/>
      <c r="O2697" s="835"/>
      <c r="P2697" s="835"/>
      <c r="Q2697" s="540"/>
      <c r="R2697" s="540"/>
      <c r="S2697" s="540"/>
      <c r="T2697" s="540"/>
      <c r="U2697" s="540"/>
      <c r="V2697" s="540"/>
      <c r="W2697" s="540"/>
      <c r="X2697" s="540"/>
      <c r="Y2697" s="540"/>
      <c r="Z2697" s="540"/>
    </row>
    <row r="2698" spans="1:26" ht="19">
      <c r="A2698" s="631"/>
      <c r="B2698" s="631"/>
      <c r="C2698" s="631"/>
      <c r="D2698" s="832"/>
      <c r="E2698" s="631"/>
      <c r="F2698" s="631"/>
      <c r="G2698" s="631"/>
      <c r="H2698" s="833"/>
      <c r="I2698" s="834"/>
      <c r="J2698" s="834"/>
      <c r="K2698" s="835"/>
      <c r="L2698" s="835"/>
      <c r="M2698" s="835"/>
      <c r="N2698" s="835"/>
      <c r="O2698" s="835"/>
      <c r="P2698" s="835"/>
      <c r="Q2698" s="540"/>
      <c r="R2698" s="540"/>
      <c r="S2698" s="540"/>
      <c r="T2698" s="540"/>
      <c r="U2698" s="540"/>
      <c r="V2698" s="540"/>
      <c r="W2698" s="540"/>
      <c r="X2698" s="540"/>
      <c r="Y2698" s="540"/>
      <c r="Z2698" s="540"/>
    </row>
    <row r="2699" spans="1:26" ht="19">
      <c r="A2699" s="631"/>
      <c r="B2699" s="631"/>
      <c r="C2699" s="631"/>
      <c r="D2699" s="832"/>
      <c r="E2699" s="631"/>
      <c r="F2699" s="631"/>
      <c r="G2699" s="631"/>
      <c r="H2699" s="833"/>
      <c r="I2699" s="834"/>
      <c r="J2699" s="834"/>
      <c r="K2699" s="835"/>
      <c r="L2699" s="835"/>
      <c r="M2699" s="835"/>
      <c r="N2699" s="835"/>
      <c r="O2699" s="835"/>
      <c r="P2699" s="835"/>
      <c r="Q2699" s="540"/>
      <c r="R2699" s="540"/>
      <c r="S2699" s="540"/>
      <c r="T2699" s="540"/>
      <c r="U2699" s="540"/>
      <c r="V2699" s="540"/>
      <c r="W2699" s="540"/>
      <c r="X2699" s="540"/>
      <c r="Y2699" s="540"/>
      <c r="Z2699" s="540"/>
    </row>
    <row r="2700" spans="1:26" ht="19">
      <c r="A2700" s="631"/>
      <c r="B2700" s="631"/>
      <c r="C2700" s="631"/>
      <c r="D2700" s="832"/>
      <c r="E2700" s="631"/>
      <c r="F2700" s="631"/>
      <c r="G2700" s="631"/>
      <c r="H2700" s="833"/>
      <c r="I2700" s="834"/>
      <c r="J2700" s="834"/>
      <c r="K2700" s="835"/>
      <c r="L2700" s="835"/>
      <c r="M2700" s="835"/>
      <c r="N2700" s="835"/>
      <c r="O2700" s="835"/>
      <c r="P2700" s="835"/>
      <c r="Q2700" s="540"/>
      <c r="R2700" s="540"/>
      <c r="S2700" s="540"/>
      <c r="T2700" s="540"/>
      <c r="U2700" s="540"/>
      <c r="V2700" s="540"/>
      <c r="W2700" s="540"/>
      <c r="X2700" s="540"/>
      <c r="Y2700" s="540"/>
      <c r="Z2700" s="540"/>
    </row>
    <row r="2701" spans="1:26" ht="19">
      <c r="A2701" s="631"/>
      <c r="B2701" s="631"/>
      <c r="C2701" s="631"/>
      <c r="D2701" s="832"/>
      <c r="E2701" s="631"/>
      <c r="F2701" s="631"/>
      <c r="G2701" s="631"/>
      <c r="H2701" s="833"/>
      <c r="I2701" s="834"/>
      <c r="J2701" s="834"/>
      <c r="K2701" s="835"/>
      <c r="L2701" s="835"/>
      <c r="M2701" s="835"/>
      <c r="N2701" s="835"/>
      <c r="O2701" s="835"/>
      <c r="P2701" s="835"/>
      <c r="Q2701" s="540"/>
      <c r="R2701" s="540"/>
      <c r="S2701" s="540"/>
      <c r="T2701" s="540"/>
      <c r="U2701" s="540"/>
      <c r="V2701" s="540"/>
      <c r="W2701" s="540"/>
      <c r="X2701" s="540"/>
      <c r="Y2701" s="540"/>
      <c r="Z2701" s="540"/>
    </row>
    <row r="2702" spans="1:26" ht="19">
      <c r="A2702" s="631"/>
      <c r="B2702" s="631"/>
      <c r="C2702" s="631"/>
      <c r="D2702" s="832"/>
      <c r="E2702" s="631"/>
      <c r="F2702" s="631"/>
      <c r="G2702" s="631"/>
      <c r="H2702" s="833"/>
      <c r="I2702" s="834"/>
      <c r="J2702" s="834"/>
      <c r="K2702" s="835"/>
      <c r="L2702" s="835"/>
      <c r="M2702" s="835"/>
      <c r="N2702" s="835"/>
      <c r="O2702" s="835"/>
      <c r="P2702" s="835"/>
      <c r="Q2702" s="540"/>
      <c r="R2702" s="540"/>
      <c r="S2702" s="540"/>
      <c r="T2702" s="540"/>
      <c r="U2702" s="540"/>
      <c r="V2702" s="540"/>
      <c r="W2702" s="540"/>
      <c r="X2702" s="540"/>
      <c r="Y2702" s="540"/>
      <c r="Z2702" s="540"/>
    </row>
    <row r="2703" spans="1:26" ht="19">
      <c r="A2703" s="631"/>
      <c r="B2703" s="631"/>
      <c r="C2703" s="631"/>
      <c r="D2703" s="832"/>
      <c r="E2703" s="631"/>
      <c r="F2703" s="631"/>
      <c r="G2703" s="631"/>
      <c r="H2703" s="833"/>
      <c r="I2703" s="834"/>
      <c r="J2703" s="834"/>
      <c r="K2703" s="835"/>
      <c r="L2703" s="835"/>
      <c r="M2703" s="835"/>
      <c r="N2703" s="835"/>
      <c r="O2703" s="835"/>
      <c r="P2703" s="835"/>
      <c r="Q2703" s="540"/>
      <c r="R2703" s="540"/>
      <c r="S2703" s="540"/>
      <c r="T2703" s="540"/>
      <c r="U2703" s="540"/>
      <c r="V2703" s="540"/>
      <c r="W2703" s="540"/>
      <c r="X2703" s="540"/>
      <c r="Y2703" s="540"/>
      <c r="Z2703" s="540"/>
    </row>
    <row r="2704" spans="1:26" ht="19">
      <c r="A2704" s="631"/>
      <c r="B2704" s="631"/>
      <c r="C2704" s="631"/>
      <c r="D2704" s="832"/>
      <c r="E2704" s="631"/>
      <c r="F2704" s="631"/>
      <c r="G2704" s="631"/>
      <c r="H2704" s="833"/>
      <c r="I2704" s="834"/>
      <c r="J2704" s="834"/>
      <c r="K2704" s="835"/>
      <c r="L2704" s="835"/>
      <c r="M2704" s="835"/>
      <c r="N2704" s="835"/>
      <c r="O2704" s="835"/>
      <c r="P2704" s="835"/>
      <c r="Q2704" s="540"/>
      <c r="R2704" s="540"/>
      <c r="S2704" s="540"/>
      <c r="T2704" s="540"/>
      <c r="U2704" s="540"/>
      <c r="V2704" s="540"/>
      <c r="W2704" s="540"/>
      <c r="X2704" s="540"/>
      <c r="Y2704" s="540"/>
      <c r="Z2704" s="540"/>
    </row>
    <row r="2705" spans="1:26" ht="19">
      <c r="A2705" s="631"/>
      <c r="B2705" s="631"/>
      <c r="C2705" s="631"/>
      <c r="D2705" s="832"/>
      <c r="E2705" s="631"/>
      <c r="F2705" s="631"/>
      <c r="G2705" s="631"/>
      <c r="H2705" s="833"/>
      <c r="I2705" s="834"/>
      <c r="J2705" s="834"/>
      <c r="K2705" s="835"/>
      <c r="L2705" s="835"/>
      <c r="M2705" s="835"/>
      <c r="N2705" s="835"/>
      <c r="O2705" s="835"/>
      <c r="P2705" s="835"/>
      <c r="Q2705" s="540"/>
      <c r="R2705" s="540"/>
      <c r="S2705" s="540"/>
      <c r="T2705" s="540"/>
      <c r="U2705" s="540"/>
      <c r="V2705" s="540"/>
      <c r="W2705" s="540"/>
      <c r="X2705" s="540"/>
      <c r="Y2705" s="540"/>
      <c r="Z2705" s="540"/>
    </row>
    <row r="2706" spans="1:26" ht="19">
      <c r="A2706" s="631"/>
      <c r="B2706" s="631"/>
      <c r="C2706" s="631"/>
      <c r="D2706" s="832"/>
      <c r="E2706" s="631"/>
      <c r="F2706" s="631"/>
      <c r="G2706" s="631"/>
      <c r="H2706" s="833"/>
      <c r="I2706" s="834"/>
      <c r="J2706" s="834"/>
      <c r="K2706" s="835"/>
      <c r="L2706" s="835"/>
      <c r="M2706" s="835"/>
      <c r="N2706" s="835"/>
      <c r="O2706" s="835"/>
      <c r="P2706" s="835"/>
      <c r="Q2706" s="540"/>
      <c r="R2706" s="540"/>
      <c r="S2706" s="540"/>
      <c r="T2706" s="540"/>
      <c r="U2706" s="540"/>
      <c r="V2706" s="540"/>
      <c r="W2706" s="540"/>
      <c r="X2706" s="540"/>
      <c r="Y2706" s="540"/>
      <c r="Z2706" s="540"/>
    </row>
    <row r="2707" spans="1:26" ht="19">
      <c r="A2707" s="631"/>
      <c r="B2707" s="631"/>
      <c r="C2707" s="631"/>
      <c r="D2707" s="832"/>
      <c r="E2707" s="631"/>
      <c r="F2707" s="631"/>
      <c r="G2707" s="631"/>
      <c r="H2707" s="833"/>
      <c r="I2707" s="834"/>
      <c r="J2707" s="834"/>
      <c r="K2707" s="835"/>
      <c r="L2707" s="835"/>
      <c r="M2707" s="835"/>
      <c r="N2707" s="835"/>
      <c r="O2707" s="835"/>
      <c r="P2707" s="835"/>
      <c r="Q2707" s="540"/>
      <c r="R2707" s="540"/>
      <c r="S2707" s="540"/>
      <c r="T2707" s="540"/>
      <c r="U2707" s="540"/>
      <c r="V2707" s="540"/>
      <c r="W2707" s="540"/>
      <c r="X2707" s="540"/>
      <c r="Y2707" s="540"/>
      <c r="Z2707" s="540"/>
    </row>
    <row r="2708" spans="1:26" ht="19">
      <c r="A2708" s="631"/>
      <c r="B2708" s="631"/>
      <c r="C2708" s="631"/>
      <c r="D2708" s="832"/>
      <c r="E2708" s="631"/>
      <c r="F2708" s="631"/>
      <c r="G2708" s="631"/>
      <c r="H2708" s="833"/>
      <c r="I2708" s="834"/>
      <c r="J2708" s="834"/>
      <c r="K2708" s="835"/>
      <c r="L2708" s="835"/>
      <c r="M2708" s="835"/>
      <c r="N2708" s="835"/>
      <c r="O2708" s="835"/>
      <c r="P2708" s="835"/>
      <c r="Q2708" s="540"/>
      <c r="R2708" s="540"/>
      <c r="S2708" s="540"/>
      <c r="T2708" s="540"/>
      <c r="U2708" s="540"/>
      <c r="V2708" s="540"/>
      <c r="W2708" s="540"/>
      <c r="X2708" s="540"/>
      <c r="Y2708" s="540"/>
      <c r="Z2708" s="540"/>
    </row>
    <row r="2709" spans="1:26" ht="19">
      <c r="A2709" s="631"/>
      <c r="B2709" s="631"/>
      <c r="C2709" s="631"/>
      <c r="D2709" s="832"/>
      <c r="E2709" s="631"/>
      <c r="F2709" s="631"/>
      <c r="G2709" s="631"/>
      <c r="H2709" s="833"/>
      <c r="I2709" s="834"/>
      <c r="J2709" s="834"/>
      <c r="K2709" s="835"/>
      <c r="L2709" s="835"/>
      <c r="M2709" s="835"/>
      <c r="N2709" s="835"/>
      <c r="O2709" s="835"/>
      <c r="P2709" s="835"/>
      <c r="Q2709" s="540"/>
      <c r="R2709" s="540"/>
      <c r="S2709" s="540"/>
      <c r="T2709" s="540"/>
      <c r="U2709" s="540"/>
      <c r="V2709" s="540"/>
      <c r="W2709" s="540"/>
      <c r="X2709" s="540"/>
      <c r="Y2709" s="540"/>
      <c r="Z2709" s="540"/>
    </row>
    <row r="2710" spans="1:26" ht="19">
      <c r="A2710" s="631"/>
      <c r="B2710" s="631"/>
      <c r="C2710" s="631"/>
      <c r="D2710" s="832"/>
      <c r="E2710" s="631"/>
      <c r="F2710" s="631"/>
      <c r="G2710" s="631"/>
      <c r="H2710" s="833"/>
      <c r="I2710" s="834"/>
      <c r="J2710" s="834"/>
      <c r="K2710" s="835"/>
      <c r="L2710" s="835"/>
      <c r="M2710" s="835"/>
      <c r="N2710" s="835"/>
      <c r="O2710" s="835"/>
      <c r="P2710" s="835"/>
      <c r="Q2710" s="540"/>
      <c r="R2710" s="540"/>
      <c r="S2710" s="540"/>
      <c r="T2710" s="540"/>
      <c r="U2710" s="540"/>
      <c r="V2710" s="540"/>
      <c r="W2710" s="540"/>
      <c r="X2710" s="540"/>
      <c r="Y2710" s="540"/>
      <c r="Z2710" s="540"/>
    </row>
    <row r="2711" spans="1:26" ht="19">
      <c r="A2711" s="631"/>
      <c r="B2711" s="631"/>
      <c r="C2711" s="631"/>
      <c r="D2711" s="832"/>
      <c r="E2711" s="631"/>
      <c r="F2711" s="631"/>
      <c r="G2711" s="631"/>
      <c r="H2711" s="833"/>
      <c r="I2711" s="834"/>
      <c r="J2711" s="834"/>
      <c r="K2711" s="835"/>
      <c r="L2711" s="835"/>
      <c r="M2711" s="835"/>
      <c r="N2711" s="835"/>
      <c r="O2711" s="835"/>
      <c r="P2711" s="835"/>
      <c r="Q2711" s="540"/>
      <c r="R2711" s="540"/>
      <c r="S2711" s="540"/>
      <c r="T2711" s="540"/>
      <c r="U2711" s="540"/>
      <c r="V2711" s="540"/>
      <c r="W2711" s="540"/>
      <c r="X2711" s="540"/>
      <c r="Y2711" s="540"/>
      <c r="Z2711" s="540"/>
    </row>
    <row r="2712" spans="1:26" ht="19">
      <c r="A2712" s="631"/>
      <c r="B2712" s="631"/>
      <c r="C2712" s="631"/>
      <c r="D2712" s="832"/>
      <c r="E2712" s="631"/>
      <c r="F2712" s="631"/>
      <c r="G2712" s="631"/>
      <c r="H2712" s="833"/>
      <c r="I2712" s="834"/>
      <c r="J2712" s="834"/>
      <c r="K2712" s="835"/>
      <c r="L2712" s="835"/>
      <c r="M2712" s="835"/>
      <c r="N2712" s="835"/>
      <c r="O2712" s="835"/>
      <c r="P2712" s="835"/>
      <c r="Q2712" s="540"/>
      <c r="R2712" s="540"/>
      <c r="S2712" s="540"/>
      <c r="T2712" s="540"/>
      <c r="U2712" s="540"/>
      <c r="V2712" s="540"/>
      <c r="W2712" s="540"/>
      <c r="X2712" s="540"/>
      <c r="Y2712" s="540"/>
      <c r="Z2712" s="540"/>
    </row>
    <row r="2713" spans="1:26" ht="19">
      <c r="A2713" s="631"/>
      <c r="B2713" s="631"/>
      <c r="C2713" s="631"/>
      <c r="D2713" s="832"/>
      <c r="E2713" s="631"/>
      <c r="F2713" s="631"/>
      <c r="G2713" s="631"/>
      <c r="H2713" s="833"/>
      <c r="I2713" s="834"/>
      <c r="J2713" s="834"/>
      <c r="K2713" s="835"/>
      <c r="L2713" s="835"/>
      <c r="M2713" s="835"/>
      <c r="N2713" s="835"/>
      <c r="O2713" s="835"/>
      <c r="P2713" s="835"/>
      <c r="Q2713" s="540"/>
      <c r="R2713" s="540"/>
      <c r="S2713" s="540"/>
      <c r="T2713" s="540"/>
      <c r="U2713" s="540"/>
      <c r="V2713" s="540"/>
      <c r="W2713" s="540"/>
      <c r="X2713" s="540"/>
      <c r="Y2713" s="540"/>
      <c r="Z2713" s="540"/>
    </row>
    <row r="2714" spans="1:26" ht="19">
      <c r="A2714" s="631"/>
      <c r="B2714" s="631"/>
      <c r="C2714" s="631"/>
      <c r="D2714" s="832"/>
      <c r="E2714" s="631"/>
      <c r="F2714" s="631"/>
      <c r="G2714" s="631"/>
      <c r="H2714" s="833"/>
      <c r="I2714" s="834"/>
      <c r="J2714" s="834"/>
      <c r="K2714" s="835"/>
      <c r="L2714" s="835"/>
      <c r="M2714" s="835"/>
      <c r="N2714" s="835"/>
      <c r="O2714" s="835"/>
      <c r="P2714" s="835"/>
      <c r="Q2714" s="540"/>
      <c r="R2714" s="540"/>
      <c r="S2714" s="540"/>
      <c r="T2714" s="540"/>
      <c r="U2714" s="540"/>
      <c r="V2714" s="540"/>
      <c r="W2714" s="540"/>
      <c r="X2714" s="540"/>
      <c r="Y2714" s="540"/>
      <c r="Z2714" s="540"/>
    </row>
    <row r="2715" spans="1:26" ht="19">
      <c r="A2715" s="631"/>
      <c r="B2715" s="631"/>
      <c r="C2715" s="631"/>
      <c r="D2715" s="832"/>
      <c r="E2715" s="631"/>
      <c r="F2715" s="631"/>
      <c r="G2715" s="631"/>
      <c r="H2715" s="833"/>
      <c r="I2715" s="834"/>
      <c r="J2715" s="834"/>
      <c r="K2715" s="835"/>
      <c r="L2715" s="835"/>
      <c r="M2715" s="835"/>
      <c r="N2715" s="835"/>
      <c r="O2715" s="835"/>
      <c r="P2715" s="835"/>
      <c r="Q2715" s="540"/>
      <c r="R2715" s="540"/>
      <c r="S2715" s="540"/>
      <c r="T2715" s="540"/>
      <c r="U2715" s="540"/>
      <c r="V2715" s="540"/>
      <c r="W2715" s="540"/>
      <c r="X2715" s="540"/>
      <c r="Y2715" s="540"/>
      <c r="Z2715" s="540"/>
    </row>
    <row r="2716" spans="1:26" ht="19">
      <c r="A2716" s="631"/>
      <c r="B2716" s="631"/>
      <c r="C2716" s="631"/>
      <c r="D2716" s="832"/>
      <c r="E2716" s="631"/>
      <c r="F2716" s="631"/>
      <c r="G2716" s="631"/>
      <c r="H2716" s="833"/>
      <c r="I2716" s="834"/>
      <c r="J2716" s="834"/>
      <c r="K2716" s="835"/>
      <c r="L2716" s="835"/>
      <c r="M2716" s="835"/>
      <c r="N2716" s="835"/>
      <c r="O2716" s="835"/>
      <c r="P2716" s="835"/>
      <c r="Q2716" s="540"/>
      <c r="R2716" s="540"/>
      <c r="S2716" s="540"/>
      <c r="T2716" s="540"/>
      <c r="U2716" s="540"/>
      <c r="V2716" s="540"/>
      <c r="W2716" s="540"/>
      <c r="X2716" s="540"/>
      <c r="Y2716" s="540"/>
      <c r="Z2716" s="540"/>
    </row>
    <row r="2717" spans="1:26" ht="19">
      <c r="A2717" s="631"/>
      <c r="B2717" s="631"/>
      <c r="C2717" s="631"/>
      <c r="D2717" s="832"/>
      <c r="E2717" s="631"/>
      <c r="F2717" s="631"/>
      <c r="G2717" s="631"/>
      <c r="H2717" s="833"/>
      <c r="I2717" s="834"/>
      <c r="J2717" s="834"/>
      <c r="K2717" s="835"/>
      <c r="L2717" s="835"/>
      <c r="M2717" s="835"/>
      <c r="N2717" s="835"/>
      <c r="O2717" s="835"/>
      <c r="P2717" s="835"/>
      <c r="Q2717" s="540"/>
      <c r="R2717" s="540"/>
      <c r="S2717" s="540"/>
      <c r="T2717" s="540"/>
      <c r="U2717" s="540"/>
      <c r="V2717" s="540"/>
      <c r="W2717" s="540"/>
      <c r="X2717" s="540"/>
      <c r="Y2717" s="540"/>
      <c r="Z2717" s="540"/>
    </row>
    <row r="2718" spans="1:26" ht="19">
      <c r="A2718" s="631"/>
      <c r="B2718" s="631"/>
      <c r="C2718" s="631"/>
      <c r="D2718" s="832"/>
      <c r="E2718" s="631"/>
      <c r="F2718" s="631"/>
      <c r="G2718" s="631"/>
      <c r="H2718" s="833"/>
      <c r="I2718" s="834"/>
      <c r="J2718" s="834"/>
      <c r="K2718" s="835"/>
      <c r="L2718" s="835"/>
      <c r="M2718" s="835"/>
      <c r="N2718" s="835"/>
      <c r="O2718" s="835"/>
      <c r="P2718" s="835"/>
      <c r="Q2718" s="540"/>
      <c r="R2718" s="540"/>
      <c r="S2718" s="540"/>
      <c r="T2718" s="540"/>
      <c r="U2718" s="540"/>
      <c r="V2718" s="540"/>
      <c r="W2718" s="540"/>
      <c r="X2718" s="540"/>
      <c r="Y2718" s="540"/>
      <c r="Z2718" s="540"/>
    </row>
    <row r="2719" spans="1:26" ht="19">
      <c r="A2719" s="631"/>
      <c r="B2719" s="631"/>
      <c r="C2719" s="631"/>
      <c r="D2719" s="832"/>
      <c r="E2719" s="631"/>
      <c r="F2719" s="631"/>
      <c r="G2719" s="631"/>
      <c r="H2719" s="833"/>
      <c r="I2719" s="834"/>
      <c r="J2719" s="834"/>
      <c r="K2719" s="835"/>
      <c r="L2719" s="835"/>
      <c r="M2719" s="835"/>
      <c r="N2719" s="835"/>
      <c r="O2719" s="835"/>
      <c r="P2719" s="835"/>
      <c r="Q2719" s="540"/>
      <c r="R2719" s="540"/>
      <c r="S2719" s="540"/>
      <c r="T2719" s="540"/>
      <c r="U2719" s="540"/>
      <c r="V2719" s="540"/>
      <c r="W2719" s="540"/>
      <c r="X2719" s="540"/>
      <c r="Y2719" s="540"/>
      <c r="Z2719" s="540"/>
    </row>
    <row r="2720" spans="1:26" ht="19">
      <c r="A2720" s="631"/>
      <c r="B2720" s="631"/>
      <c r="C2720" s="631"/>
      <c r="D2720" s="832"/>
      <c r="E2720" s="631"/>
      <c r="F2720" s="631"/>
      <c r="G2720" s="631"/>
      <c r="H2720" s="833"/>
      <c r="I2720" s="834"/>
      <c r="J2720" s="834"/>
      <c r="K2720" s="835"/>
      <c r="L2720" s="835"/>
      <c r="M2720" s="835"/>
      <c r="N2720" s="835"/>
      <c r="O2720" s="835"/>
      <c r="P2720" s="835"/>
      <c r="Q2720" s="540"/>
      <c r="R2720" s="540"/>
      <c r="S2720" s="540"/>
      <c r="T2720" s="540"/>
      <c r="U2720" s="540"/>
      <c r="V2720" s="540"/>
      <c r="W2720" s="540"/>
      <c r="X2720" s="540"/>
      <c r="Y2720" s="540"/>
      <c r="Z2720" s="540"/>
    </row>
    <row r="2721" spans="1:26" ht="19">
      <c r="A2721" s="631"/>
      <c r="B2721" s="631"/>
      <c r="C2721" s="631"/>
      <c r="D2721" s="832"/>
      <c r="E2721" s="631"/>
      <c r="F2721" s="631"/>
      <c r="G2721" s="631"/>
      <c r="H2721" s="833"/>
      <c r="I2721" s="834"/>
      <c r="J2721" s="834"/>
      <c r="K2721" s="835"/>
      <c r="L2721" s="835"/>
      <c r="M2721" s="835"/>
      <c r="N2721" s="835"/>
      <c r="O2721" s="835"/>
      <c r="P2721" s="835"/>
      <c r="Q2721" s="540"/>
      <c r="R2721" s="540"/>
      <c r="S2721" s="540"/>
      <c r="T2721" s="540"/>
      <c r="U2721" s="540"/>
      <c r="V2721" s="540"/>
      <c r="W2721" s="540"/>
      <c r="X2721" s="540"/>
      <c r="Y2721" s="540"/>
      <c r="Z2721" s="540"/>
    </row>
    <row r="2722" spans="1:26" ht="19">
      <c r="A2722" s="631"/>
      <c r="B2722" s="631"/>
      <c r="C2722" s="631"/>
      <c r="D2722" s="832"/>
      <c r="E2722" s="631"/>
      <c r="F2722" s="631"/>
      <c r="G2722" s="631"/>
      <c r="H2722" s="833"/>
      <c r="I2722" s="834"/>
      <c r="J2722" s="834"/>
      <c r="K2722" s="835"/>
      <c r="L2722" s="835"/>
      <c r="M2722" s="835"/>
      <c r="N2722" s="835"/>
      <c r="O2722" s="835"/>
      <c r="P2722" s="835"/>
      <c r="Q2722" s="540"/>
      <c r="R2722" s="540"/>
      <c r="S2722" s="540"/>
      <c r="T2722" s="540"/>
      <c r="U2722" s="540"/>
      <c r="V2722" s="540"/>
      <c r="W2722" s="540"/>
      <c r="X2722" s="540"/>
      <c r="Y2722" s="540"/>
      <c r="Z2722" s="540"/>
    </row>
    <row r="2723" spans="1:26" ht="19">
      <c r="A2723" s="631"/>
      <c r="B2723" s="631"/>
      <c r="C2723" s="631"/>
      <c r="D2723" s="832"/>
      <c r="E2723" s="631"/>
      <c r="F2723" s="631"/>
      <c r="G2723" s="631"/>
      <c r="H2723" s="833"/>
      <c r="I2723" s="834"/>
      <c r="J2723" s="834"/>
      <c r="K2723" s="835"/>
      <c r="L2723" s="835"/>
      <c r="M2723" s="835"/>
      <c r="N2723" s="835"/>
      <c r="O2723" s="835"/>
      <c r="P2723" s="835"/>
      <c r="Q2723" s="540"/>
      <c r="R2723" s="540"/>
      <c r="S2723" s="540"/>
      <c r="T2723" s="540"/>
      <c r="U2723" s="540"/>
      <c r="V2723" s="540"/>
      <c r="W2723" s="540"/>
      <c r="X2723" s="540"/>
      <c r="Y2723" s="540"/>
      <c r="Z2723" s="540"/>
    </row>
    <row r="2724" spans="1:26" ht="19">
      <c r="A2724" s="631"/>
      <c r="B2724" s="631"/>
      <c r="C2724" s="631"/>
      <c r="D2724" s="832"/>
      <c r="E2724" s="631"/>
      <c r="F2724" s="631"/>
      <c r="G2724" s="631"/>
      <c r="H2724" s="833"/>
      <c r="I2724" s="834"/>
      <c r="J2724" s="834"/>
      <c r="K2724" s="835"/>
      <c r="L2724" s="835"/>
      <c r="M2724" s="835"/>
      <c r="N2724" s="835"/>
      <c r="O2724" s="835"/>
      <c r="P2724" s="835"/>
      <c r="Q2724" s="540"/>
      <c r="R2724" s="540"/>
      <c r="S2724" s="540"/>
      <c r="T2724" s="540"/>
      <c r="U2724" s="540"/>
      <c r="V2724" s="540"/>
      <c r="W2724" s="540"/>
      <c r="X2724" s="540"/>
      <c r="Y2724" s="540"/>
      <c r="Z2724" s="540"/>
    </row>
    <row r="2725" spans="1:26" ht="19">
      <c r="A2725" s="631"/>
      <c r="B2725" s="631"/>
      <c r="C2725" s="631"/>
      <c r="D2725" s="832"/>
      <c r="E2725" s="631"/>
      <c r="F2725" s="631"/>
      <c r="G2725" s="631"/>
      <c r="H2725" s="833"/>
      <c r="I2725" s="834"/>
      <c r="J2725" s="834"/>
      <c r="K2725" s="835"/>
      <c r="L2725" s="835"/>
      <c r="M2725" s="835"/>
      <c r="N2725" s="835"/>
      <c r="O2725" s="835"/>
      <c r="P2725" s="835"/>
      <c r="Q2725" s="540"/>
      <c r="R2725" s="540"/>
      <c r="S2725" s="540"/>
      <c r="T2725" s="540"/>
      <c r="U2725" s="540"/>
      <c r="V2725" s="540"/>
      <c r="W2725" s="540"/>
      <c r="X2725" s="540"/>
      <c r="Y2725" s="540"/>
      <c r="Z2725" s="540"/>
    </row>
    <row r="2726" spans="1:26" ht="19">
      <c r="A2726" s="631"/>
      <c r="B2726" s="631"/>
      <c r="C2726" s="631"/>
      <c r="D2726" s="832"/>
      <c r="E2726" s="631"/>
      <c r="F2726" s="631"/>
      <c r="G2726" s="631"/>
      <c r="H2726" s="833"/>
      <c r="I2726" s="834"/>
      <c r="J2726" s="834"/>
      <c r="K2726" s="835"/>
      <c r="L2726" s="835"/>
      <c r="M2726" s="835"/>
      <c r="N2726" s="835"/>
      <c r="O2726" s="835"/>
      <c r="P2726" s="835"/>
      <c r="Q2726" s="540"/>
      <c r="R2726" s="540"/>
      <c r="S2726" s="540"/>
      <c r="T2726" s="540"/>
      <c r="U2726" s="540"/>
      <c r="V2726" s="540"/>
      <c r="W2726" s="540"/>
      <c r="X2726" s="540"/>
      <c r="Y2726" s="540"/>
      <c r="Z2726" s="540"/>
    </row>
    <row r="2727" spans="1:26" ht="19">
      <c r="A2727" s="631"/>
      <c r="B2727" s="631"/>
      <c r="C2727" s="631"/>
      <c r="D2727" s="832"/>
      <c r="E2727" s="631"/>
      <c r="F2727" s="631"/>
      <c r="G2727" s="631"/>
      <c r="H2727" s="833"/>
      <c r="I2727" s="834"/>
      <c r="J2727" s="834"/>
      <c r="K2727" s="835"/>
      <c r="L2727" s="835"/>
      <c r="M2727" s="835"/>
      <c r="N2727" s="835"/>
      <c r="O2727" s="835"/>
      <c r="P2727" s="835"/>
      <c r="Q2727" s="540"/>
      <c r="R2727" s="540"/>
      <c r="S2727" s="540"/>
      <c r="T2727" s="540"/>
      <c r="U2727" s="540"/>
      <c r="V2727" s="540"/>
      <c r="W2727" s="540"/>
      <c r="X2727" s="540"/>
      <c r="Y2727" s="540"/>
      <c r="Z2727" s="540"/>
    </row>
    <row r="2728" spans="1:26" ht="19">
      <c r="A2728" s="631"/>
      <c r="B2728" s="631"/>
      <c r="C2728" s="631"/>
      <c r="D2728" s="832"/>
      <c r="E2728" s="631"/>
      <c r="F2728" s="631"/>
      <c r="G2728" s="631"/>
      <c r="H2728" s="833"/>
      <c r="I2728" s="834"/>
      <c r="J2728" s="834"/>
      <c r="K2728" s="835"/>
      <c r="L2728" s="835"/>
      <c r="M2728" s="835"/>
      <c r="N2728" s="835"/>
      <c r="O2728" s="835"/>
      <c r="P2728" s="835"/>
      <c r="Q2728" s="540"/>
      <c r="R2728" s="540"/>
      <c r="S2728" s="540"/>
      <c r="T2728" s="540"/>
      <c r="U2728" s="540"/>
      <c r="V2728" s="540"/>
      <c r="W2728" s="540"/>
      <c r="X2728" s="540"/>
      <c r="Y2728" s="540"/>
      <c r="Z2728" s="540"/>
    </row>
    <row r="2729" spans="1:26" ht="19">
      <c r="A2729" s="631"/>
      <c r="B2729" s="631"/>
      <c r="C2729" s="631"/>
      <c r="D2729" s="832"/>
      <c r="E2729" s="631"/>
      <c r="F2729" s="631"/>
      <c r="G2729" s="631"/>
      <c r="H2729" s="833"/>
      <c r="I2729" s="834"/>
      <c r="J2729" s="834"/>
      <c r="K2729" s="835"/>
      <c r="L2729" s="835"/>
      <c r="M2729" s="835"/>
      <c r="N2729" s="835"/>
      <c r="O2729" s="835"/>
      <c r="P2729" s="835"/>
      <c r="Q2729" s="540"/>
      <c r="R2729" s="540"/>
      <c r="S2729" s="540"/>
      <c r="T2729" s="540"/>
      <c r="U2729" s="540"/>
      <c r="V2729" s="540"/>
      <c r="W2729" s="540"/>
      <c r="X2729" s="540"/>
      <c r="Y2729" s="540"/>
      <c r="Z2729" s="540"/>
    </row>
    <row r="2730" spans="1:26" ht="19">
      <c r="A2730" s="631"/>
      <c r="B2730" s="631"/>
      <c r="C2730" s="631"/>
      <c r="D2730" s="832"/>
      <c r="E2730" s="631"/>
      <c r="F2730" s="631"/>
      <c r="G2730" s="631"/>
      <c r="H2730" s="833"/>
      <c r="I2730" s="834"/>
      <c r="J2730" s="834"/>
      <c r="K2730" s="835"/>
      <c r="L2730" s="835"/>
      <c r="M2730" s="835"/>
      <c r="N2730" s="835"/>
      <c r="O2730" s="835"/>
      <c r="P2730" s="835"/>
      <c r="Q2730" s="540"/>
      <c r="R2730" s="540"/>
      <c r="S2730" s="540"/>
      <c r="T2730" s="540"/>
      <c r="U2730" s="540"/>
      <c r="V2730" s="540"/>
      <c r="W2730" s="540"/>
      <c r="X2730" s="540"/>
      <c r="Y2730" s="540"/>
      <c r="Z2730" s="540"/>
    </row>
    <row r="2731" spans="1:26" ht="19">
      <c r="A2731" s="631"/>
      <c r="B2731" s="631"/>
      <c r="C2731" s="631"/>
      <c r="D2731" s="832"/>
      <c r="E2731" s="631"/>
      <c r="F2731" s="631"/>
      <c r="G2731" s="631"/>
      <c r="H2731" s="833"/>
      <c r="I2731" s="834"/>
      <c r="J2731" s="834"/>
      <c r="K2731" s="835"/>
      <c r="L2731" s="835"/>
      <c r="M2731" s="835"/>
      <c r="N2731" s="835"/>
      <c r="O2731" s="835"/>
      <c r="P2731" s="835"/>
      <c r="Q2731" s="540"/>
      <c r="R2731" s="540"/>
      <c r="S2731" s="540"/>
      <c r="T2731" s="540"/>
      <c r="U2731" s="540"/>
      <c r="V2731" s="540"/>
      <c r="W2731" s="540"/>
      <c r="X2731" s="540"/>
      <c r="Y2731" s="540"/>
      <c r="Z2731" s="540"/>
    </row>
    <row r="2732" spans="1:26" ht="19">
      <c r="A2732" s="631"/>
      <c r="B2732" s="631"/>
      <c r="C2732" s="631"/>
      <c r="D2732" s="832"/>
      <c r="E2732" s="631"/>
      <c r="F2732" s="631"/>
      <c r="G2732" s="631"/>
      <c r="H2732" s="833"/>
      <c r="I2732" s="834"/>
      <c r="J2732" s="834"/>
      <c r="K2732" s="835"/>
      <c r="L2732" s="835"/>
      <c r="M2732" s="835"/>
      <c r="N2732" s="835"/>
      <c r="O2732" s="835"/>
      <c r="P2732" s="835"/>
      <c r="Q2732" s="540"/>
      <c r="R2732" s="540"/>
      <c r="S2732" s="540"/>
      <c r="T2732" s="540"/>
      <c r="U2732" s="540"/>
      <c r="V2732" s="540"/>
      <c r="W2732" s="540"/>
      <c r="X2732" s="540"/>
      <c r="Y2732" s="540"/>
      <c r="Z2732" s="540"/>
    </row>
    <row r="2733" spans="1:26" ht="19">
      <c r="A2733" s="631"/>
      <c r="B2733" s="631"/>
      <c r="C2733" s="631"/>
      <c r="D2733" s="832"/>
      <c r="E2733" s="631"/>
      <c r="F2733" s="631"/>
      <c r="G2733" s="631"/>
      <c r="H2733" s="833"/>
      <c r="I2733" s="834"/>
      <c r="J2733" s="834"/>
      <c r="K2733" s="835"/>
      <c r="L2733" s="835"/>
      <c r="M2733" s="835"/>
      <c r="N2733" s="835"/>
      <c r="O2733" s="835"/>
      <c r="P2733" s="835"/>
      <c r="Q2733" s="540"/>
      <c r="R2733" s="540"/>
      <c r="S2733" s="540"/>
      <c r="T2733" s="540"/>
      <c r="U2733" s="540"/>
      <c r="V2733" s="540"/>
      <c r="W2733" s="540"/>
      <c r="X2733" s="540"/>
      <c r="Y2733" s="540"/>
      <c r="Z2733" s="540"/>
    </row>
    <row r="2734" spans="1:26" ht="19">
      <c r="A2734" s="631"/>
      <c r="B2734" s="631"/>
      <c r="C2734" s="631"/>
      <c r="D2734" s="832"/>
      <c r="E2734" s="631"/>
      <c r="F2734" s="631"/>
      <c r="G2734" s="631"/>
      <c r="H2734" s="833"/>
      <c r="I2734" s="834"/>
      <c r="J2734" s="834"/>
      <c r="K2734" s="835"/>
      <c r="L2734" s="835"/>
      <c r="M2734" s="835"/>
      <c r="N2734" s="835"/>
      <c r="O2734" s="835"/>
      <c r="P2734" s="835"/>
      <c r="Q2734" s="540"/>
      <c r="R2734" s="540"/>
      <c r="S2734" s="540"/>
      <c r="T2734" s="540"/>
      <c r="U2734" s="540"/>
      <c r="V2734" s="540"/>
      <c r="W2734" s="540"/>
      <c r="X2734" s="540"/>
      <c r="Y2734" s="540"/>
      <c r="Z2734" s="540"/>
    </row>
    <row r="2735" spans="1:26" ht="19">
      <c r="A2735" s="631"/>
      <c r="B2735" s="631"/>
      <c r="C2735" s="631"/>
      <c r="D2735" s="832"/>
      <c r="E2735" s="631"/>
      <c r="F2735" s="631"/>
      <c r="G2735" s="631"/>
      <c r="H2735" s="833"/>
      <c r="I2735" s="834"/>
      <c r="J2735" s="834"/>
      <c r="K2735" s="835"/>
      <c r="L2735" s="835"/>
      <c r="M2735" s="835"/>
      <c r="N2735" s="835"/>
      <c r="O2735" s="835"/>
      <c r="P2735" s="835"/>
      <c r="Q2735" s="540"/>
      <c r="R2735" s="540"/>
      <c r="S2735" s="540"/>
      <c r="T2735" s="540"/>
      <c r="U2735" s="540"/>
      <c r="V2735" s="540"/>
      <c r="W2735" s="540"/>
      <c r="X2735" s="540"/>
      <c r="Y2735" s="540"/>
      <c r="Z2735" s="540"/>
    </row>
    <row r="2736" spans="1:26" ht="19">
      <c r="A2736" s="631"/>
      <c r="B2736" s="631"/>
      <c r="C2736" s="631"/>
      <c r="D2736" s="832"/>
      <c r="E2736" s="631"/>
      <c r="F2736" s="631"/>
      <c r="G2736" s="631"/>
      <c r="H2736" s="833"/>
      <c r="I2736" s="834"/>
      <c r="J2736" s="834"/>
      <c r="K2736" s="835"/>
      <c r="L2736" s="835"/>
      <c r="M2736" s="835"/>
      <c r="N2736" s="835"/>
      <c r="O2736" s="835"/>
      <c r="P2736" s="835"/>
      <c r="Q2736" s="540"/>
      <c r="R2736" s="540"/>
      <c r="S2736" s="540"/>
      <c r="T2736" s="540"/>
      <c r="U2736" s="540"/>
      <c r="V2736" s="540"/>
      <c r="W2736" s="540"/>
      <c r="X2736" s="540"/>
      <c r="Y2736" s="540"/>
      <c r="Z2736" s="540"/>
    </row>
    <row r="2737" spans="1:26" ht="19">
      <c r="A2737" s="631"/>
      <c r="B2737" s="631"/>
      <c r="C2737" s="631"/>
      <c r="D2737" s="832"/>
      <c r="E2737" s="631"/>
      <c r="F2737" s="631"/>
      <c r="G2737" s="631"/>
      <c r="H2737" s="833"/>
      <c r="I2737" s="834"/>
      <c r="J2737" s="834"/>
      <c r="K2737" s="835"/>
      <c r="L2737" s="835"/>
      <c r="M2737" s="835"/>
      <c r="N2737" s="835"/>
      <c r="O2737" s="835"/>
      <c r="P2737" s="835"/>
      <c r="Q2737" s="540"/>
      <c r="R2737" s="540"/>
      <c r="S2737" s="540"/>
      <c r="T2737" s="540"/>
      <c r="U2737" s="540"/>
      <c r="V2737" s="540"/>
      <c r="W2737" s="540"/>
      <c r="X2737" s="540"/>
      <c r="Y2737" s="540"/>
      <c r="Z2737" s="540"/>
    </row>
    <row r="2738" spans="1:26" ht="19">
      <c r="A2738" s="631"/>
      <c r="B2738" s="631"/>
      <c r="C2738" s="631"/>
      <c r="D2738" s="832"/>
      <c r="E2738" s="631"/>
      <c r="F2738" s="631"/>
      <c r="G2738" s="631"/>
      <c r="H2738" s="833"/>
      <c r="I2738" s="834"/>
      <c r="J2738" s="834"/>
      <c r="K2738" s="835"/>
      <c r="L2738" s="835"/>
      <c r="M2738" s="835"/>
      <c r="N2738" s="835"/>
      <c r="O2738" s="835"/>
      <c r="P2738" s="835"/>
      <c r="Q2738" s="540"/>
      <c r="R2738" s="540"/>
      <c r="S2738" s="540"/>
      <c r="T2738" s="540"/>
      <c r="U2738" s="540"/>
      <c r="V2738" s="540"/>
      <c r="W2738" s="540"/>
      <c r="X2738" s="540"/>
      <c r="Y2738" s="540"/>
      <c r="Z2738" s="540"/>
    </row>
    <row r="2739" spans="1:26" ht="19">
      <c r="A2739" s="631"/>
      <c r="B2739" s="631"/>
      <c r="C2739" s="631"/>
      <c r="D2739" s="832"/>
      <c r="E2739" s="631"/>
      <c r="F2739" s="631"/>
      <c r="G2739" s="631"/>
      <c r="H2739" s="833"/>
      <c r="I2739" s="834"/>
      <c r="J2739" s="834"/>
      <c r="K2739" s="835"/>
      <c r="L2739" s="835"/>
      <c r="M2739" s="835"/>
      <c r="N2739" s="835"/>
      <c r="O2739" s="835"/>
      <c r="P2739" s="835"/>
      <c r="Q2739" s="540"/>
      <c r="R2739" s="540"/>
      <c r="S2739" s="540"/>
      <c r="T2739" s="540"/>
      <c r="U2739" s="540"/>
      <c r="V2739" s="540"/>
      <c r="W2739" s="540"/>
      <c r="X2739" s="540"/>
      <c r="Y2739" s="540"/>
      <c r="Z2739" s="540"/>
    </row>
    <row r="2740" spans="1:26" ht="19">
      <c r="A2740" s="631"/>
      <c r="B2740" s="631"/>
      <c r="C2740" s="631"/>
      <c r="D2740" s="832"/>
      <c r="E2740" s="631"/>
      <c r="F2740" s="631"/>
      <c r="G2740" s="631"/>
      <c r="H2740" s="833"/>
      <c r="I2740" s="834"/>
      <c r="J2740" s="834"/>
      <c r="K2740" s="835"/>
      <c r="L2740" s="835"/>
      <c r="M2740" s="835"/>
      <c r="N2740" s="835"/>
      <c r="O2740" s="835"/>
      <c r="P2740" s="835"/>
      <c r="Q2740" s="540"/>
      <c r="R2740" s="540"/>
      <c r="S2740" s="540"/>
      <c r="T2740" s="540"/>
      <c r="U2740" s="540"/>
      <c r="V2740" s="540"/>
      <c r="W2740" s="540"/>
      <c r="X2740" s="540"/>
      <c r="Y2740" s="540"/>
      <c r="Z2740" s="540"/>
    </row>
    <row r="2741" spans="1:26" ht="19">
      <c r="A2741" s="631"/>
      <c r="B2741" s="631"/>
      <c r="C2741" s="631"/>
      <c r="D2741" s="832"/>
      <c r="E2741" s="631"/>
      <c r="F2741" s="631"/>
      <c r="G2741" s="631"/>
      <c r="H2741" s="833"/>
      <c r="I2741" s="834"/>
      <c r="J2741" s="834"/>
      <c r="K2741" s="835"/>
      <c r="L2741" s="835"/>
      <c r="M2741" s="835"/>
      <c r="N2741" s="835"/>
      <c r="O2741" s="835"/>
      <c r="P2741" s="835"/>
      <c r="Q2741" s="540"/>
      <c r="R2741" s="540"/>
      <c r="S2741" s="540"/>
      <c r="T2741" s="540"/>
      <c r="U2741" s="540"/>
      <c r="V2741" s="540"/>
      <c r="W2741" s="540"/>
      <c r="X2741" s="540"/>
      <c r="Y2741" s="540"/>
      <c r="Z2741" s="540"/>
    </row>
    <row r="2742" spans="1:26" ht="19">
      <c r="A2742" s="631"/>
      <c r="B2742" s="631"/>
      <c r="C2742" s="631"/>
      <c r="D2742" s="832"/>
      <c r="E2742" s="631"/>
      <c r="F2742" s="631"/>
      <c r="G2742" s="631"/>
      <c r="H2742" s="833"/>
      <c r="I2742" s="834"/>
      <c r="J2742" s="834"/>
      <c r="K2742" s="835"/>
      <c r="L2742" s="835"/>
      <c r="M2742" s="835"/>
      <c r="N2742" s="835"/>
      <c r="O2742" s="835"/>
      <c r="P2742" s="835"/>
      <c r="Q2742" s="540"/>
      <c r="R2742" s="540"/>
      <c r="S2742" s="540"/>
      <c r="T2742" s="540"/>
      <c r="U2742" s="540"/>
      <c r="V2742" s="540"/>
      <c r="W2742" s="540"/>
      <c r="X2742" s="540"/>
      <c r="Y2742" s="540"/>
      <c r="Z2742" s="540"/>
    </row>
    <row r="2743" spans="1:26" ht="19">
      <c r="A2743" s="631"/>
      <c r="B2743" s="631"/>
      <c r="C2743" s="631"/>
      <c r="D2743" s="832"/>
      <c r="E2743" s="631"/>
      <c r="F2743" s="631"/>
      <c r="G2743" s="631"/>
      <c r="H2743" s="833"/>
      <c r="I2743" s="834"/>
      <c r="J2743" s="834"/>
      <c r="K2743" s="835"/>
      <c r="L2743" s="835"/>
      <c r="M2743" s="835"/>
      <c r="N2743" s="835"/>
      <c r="O2743" s="835"/>
      <c r="P2743" s="835"/>
      <c r="Q2743" s="540"/>
      <c r="R2743" s="540"/>
      <c r="S2743" s="540"/>
      <c r="T2743" s="540"/>
      <c r="U2743" s="540"/>
      <c r="V2743" s="540"/>
      <c r="W2743" s="540"/>
      <c r="X2743" s="540"/>
      <c r="Y2743" s="540"/>
      <c r="Z2743" s="540"/>
    </row>
    <row r="2744" spans="1:26" ht="19">
      <c r="A2744" s="631"/>
      <c r="B2744" s="631"/>
      <c r="C2744" s="631"/>
      <c r="D2744" s="832"/>
      <c r="E2744" s="631"/>
      <c r="F2744" s="631"/>
      <c r="G2744" s="631"/>
      <c r="H2744" s="833"/>
      <c r="I2744" s="834"/>
      <c r="J2744" s="834"/>
      <c r="K2744" s="835"/>
      <c r="L2744" s="835"/>
      <c r="M2744" s="835"/>
      <c r="N2744" s="835"/>
      <c r="O2744" s="835"/>
      <c r="P2744" s="835"/>
      <c r="Q2744" s="540"/>
      <c r="R2744" s="540"/>
      <c r="S2744" s="540"/>
      <c r="T2744" s="540"/>
      <c r="U2744" s="540"/>
      <c r="V2744" s="540"/>
      <c r="W2744" s="540"/>
      <c r="X2744" s="540"/>
      <c r="Y2744" s="540"/>
      <c r="Z2744" s="540"/>
    </row>
    <row r="2745" spans="1:26" ht="19">
      <c r="A2745" s="631"/>
      <c r="B2745" s="631"/>
      <c r="C2745" s="631"/>
      <c r="D2745" s="832"/>
      <c r="E2745" s="631"/>
      <c r="F2745" s="631"/>
      <c r="G2745" s="631"/>
      <c r="H2745" s="833"/>
      <c r="I2745" s="834"/>
      <c r="J2745" s="834"/>
      <c r="K2745" s="835"/>
      <c r="L2745" s="835"/>
      <c r="M2745" s="835"/>
      <c r="N2745" s="835"/>
      <c r="O2745" s="835"/>
      <c r="P2745" s="835"/>
      <c r="Q2745" s="540"/>
      <c r="R2745" s="540"/>
      <c r="S2745" s="540"/>
      <c r="T2745" s="540"/>
      <c r="U2745" s="540"/>
      <c r="V2745" s="540"/>
      <c r="W2745" s="540"/>
      <c r="X2745" s="540"/>
      <c r="Y2745" s="540"/>
      <c r="Z2745" s="540"/>
    </row>
    <row r="2746" spans="1:26" ht="19">
      <c r="A2746" s="631"/>
      <c r="B2746" s="631"/>
      <c r="C2746" s="631"/>
      <c r="D2746" s="832"/>
      <c r="E2746" s="631"/>
      <c r="F2746" s="631"/>
      <c r="G2746" s="631"/>
      <c r="H2746" s="833"/>
      <c r="I2746" s="834"/>
      <c r="J2746" s="834"/>
      <c r="K2746" s="835"/>
      <c r="L2746" s="835"/>
      <c r="M2746" s="835"/>
      <c r="N2746" s="835"/>
      <c r="O2746" s="835"/>
      <c r="P2746" s="835"/>
      <c r="Q2746" s="540"/>
      <c r="R2746" s="540"/>
      <c r="S2746" s="540"/>
      <c r="T2746" s="540"/>
      <c r="U2746" s="540"/>
      <c r="V2746" s="540"/>
      <c r="W2746" s="540"/>
      <c r="X2746" s="540"/>
      <c r="Y2746" s="540"/>
      <c r="Z2746" s="540"/>
    </row>
    <row r="2747" spans="1:26" ht="19">
      <c r="A2747" s="631"/>
      <c r="B2747" s="631"/>
      <c r="C2747" s="631"/>
      <c r="D2747" s="832"/>
      <c r="E2747" s="631"/>
      <c r="F2747" s="631"/>
      <c r="G2747" s="631"/>
      <c r="H2747" s="833"/>
      <c r="I2747" s="834"/>
      <c r="J2747" s="834"/>
      <c r="K2747" s="835"/>
      <c r="L2747" s="835"/>
      <c r="M2747" s="835"/>
      <c r="N2747" s="835"/>
      <c r="O2747" s="835"/>
      <c r="P2747" s="835"/>
      <c r="Q2747" s="540"/>
      <c r="R2747" s="540"/>
      <c r="S2747" s="540"/>
      <c r="T2747" s="540"/>
      <c r="U2747" s="540"/>
      <c r="V2747" s="540"/>
      <c r="W2747" s="540"/>
      <c r="X2747" s="540"/>
      <c r="Y2747" s="540"/>
      <c r="Z2747" s="540"/>
    </row>
    <row r="2748" spans="1:26" ht="19">
      <c r="A2748" s="631"/>
      <c r="B2748" s="631"/>
      <c r="C2748" s="631"/>
      <c r="D2748" s="832"/>
      <c r="E2748" s="631"/>
      <c r="F2748" s="631"/>
      <c r="G2748" s="631"/>
      <c r="H2748" s="833"/>
      <c r="I2748" s="834"/>
      <c r="J2748" s="834"/>
      <c r="K2748" s="835"/>
      <c r="L2748" s="835"/>
      <c r="M2748" s="835"/>
      <c r="N2748" s="835"/>
      <c r="O2748" s="835"/>
      <c r="P2748" s="835"/>
      <c r="Q2748" s="540"/>
      <c r="R2748" s="540"/>
      <c r="S2748" s="540"/>
      <c r="T2748" s="540"/>
      <c r="U2748" s="540"/>
      <c r="V2748" s="540"/>
      <c r="W2748" s="540"/>
      <c r="X2748" s="540"/>
      <c r="Y2748" s="540"/>
      <c r="Z2748" s="540"/>
    </row>
    <row r="2749" spans="1:26" ht="19">
      <c r="A2749" s="631"/>
      <c r="B2749" s="631"/>
      <c r="C2749" s="631"/>
      <c r="D2749" s="832"/>
      <c r="E2749" s="631"/>
      <c r="F2749" s="631"/>
      <c r="G2749" s="631"/>
      <c r="H2749" s="833"/>
      <c r="I2749" s="834"/>
      <c r="J2749" s="834"/>
      <c r="K2749" s="835"/>
      <c r="L2749" s="835"/>
      <c r="M2749" s="835"/>
      <c r="N2749" s="835"/>
      <c r="O2749" s="835"/>
      <c r="P2749" s="835"/>
      <c r="Q2749" s="540"/>
      <c r="R2749" s="540"/>
      <c r="S2749" s="540"/>
      <c r="T2749" s="540"/>
      <c r="U2749" s="540"/>
      <c r="V2749" s="540"/>
      <c r="W2749" s="540"/>
      <c r="X2749" s="540"/>
      <c r="Y2749" s="540"/>
      <c r="Z2749" s="540"/>
    </row>
    <row r="2750" spans="1:26" ht="19">
      <c r="A2750" s="631"/>
      <c r="B2750" s="631"/>
      <c r="C2750" s="631"/>
      <c r="D2750" s="832"/>
      <c r="E2750" s="631"/>
      <c r="F2750" s="631"/>
      <c r="G2750" s="631"/>
      <c r="H2750" s="833"/>
      <c r="I2750" s="834"/>
      <c r="J2750" s="834"/>
      <c r="K2750" s="835"/>
      <c r="L2750" s="835"/>
      <c r="M2750" s="835"/>
      <c r="N2750" s="835"/>
      <c r="O2750" s="835"/>
      <c r="P2750" s="835"/>
      <c r="Q2750" s="540"/>
      <c r="R2750" s="540"/>
      <c r="S2750" s="540"/>
      <c r="T2750" s="540"/>
      <c r="U2750" s="540"/>
      <c r="V2750" s="540"/>
      <c r="W2750" s="540"/>
      <c r="X2750" s="540"/>
      <c r="Y2750" s="540"/>
      <c r="Z2750" s="540"/>
    </row>
    <row r="2751" spans="1:26" ht="19">
      <c r="A2751" s="631"/>
      <c r="B2751" s="631"/>
      <c r="C2751" s="631"/>
      <c r="D2751" s="832"/>
      <c r="E2751" s="631"/>
      <c r="F2751" s="631"/>
      <c r="G2751" s="631"/>
      <c r="H2751" s="833"/>
      <c r="I2751" s="834"/>
      <c r="J2751" s="834"/>
      <c r="K2751" s="835"/>
      <c r="L2751" s="835"/>
      <c r="M2751" s="835"/>
      <c r="N2751" s="835"/>
      <c r="O2751" s="835"/>
      <c r="P2751" s="835"/>
      <c r="Q2751" s="540"/>
      <c r="R2751" s="540"/>
      <c r="S2751" s="540"/>
      <c r="T2751" s="540"/>
      <c r="U2751" s="540"/>
      <c r="V2751" s="540"/>
      <c r="W2751" s="540"/>
      <c r="X2751" s="540"/>
      <c r="Y2751" s="540"/>
      <c r="Z2751" s="540"/>
    </row>
    <row r="2752" spans="1:26" ht="19">
      <c r="A2752" s="631"/>
      <c r="B2752" s="631"/>
      <c r="C2752" s="631"/>
      <c r="D2752" s="832"/>
      <c r="E2752" s="631"/>
      <c r="F2752" s="631"/>
      <c r="G2752" s="631"/>
      <c r="H2752" s="833"/>
      <c r="I2752" s="834"/>
      <c r="J2752" s="834"/>
      <c r="K2752" s="835"/>
      <c r="L2752" s="835"/>
      <c r="M2752" s="835"/>
      <c r="N2752" s="835"/>
      <c r="O2752" s="835"/>
      <c r="P2752" s="835"/>
      <c r="Q2752" s="540"/>
      <c r="R2752" s="540"/>
      <c r="S2752" s="540"/>
      <c r="T2752" s="540"/>
      <c r="U2752" s="540"/>
      <c r="V2752" s="540"/>
      <c r="W2752" s="540"/>
      <c r="X2752" s="540"/>
      <c r="Y2752" s="540"/>
      <c r="Z2752" s="540"/>
    </row>
    <row r="2753" spans="1:26" ht="19">
      <c r="A2753" s="631"/>
      <c r="B2753" s="631"/>
      <c r="C2753" s="631"/>
      <c r="D2753" s="832"/>
      <c r="E2753" s="631"/>
      <c r="F2753" s="631"/>
      <c r="G2753" s="631"/>
      <c r="H2753" s="833"/>
      <c r="I2753" s="834"/>
      <c r="J2753" s="834"/>
      <c r="K2753" s="835"/>
      <c r="L2753" s="835"/>
      <c r="M2753" s="835"/>
      <c r="N2753" s="835"/>
      <c r="O2753" s="835"/>
      <c r="P2753" s="835"/>
      <c r="Q2753" s="540"/>
      <c r="R2753" s="540"/>
      <c r="S2753" s="540"/>
      <c r="T2753" s="540"/>
      <c r="U2753" s="540"/>
      <c r="V2753" s="540"/>
      <c r="W2753" s="540"/>
      <c r="X2753" s="540"/>
      <c r="Y2753" s="540"/>
      <c r="Z2753" s="540"/>
    </row>
    <row r="2754" spans="1:26" ht="19">
      <c r="A2754" s="631"/>
      <c r="B2754" s="631"/>
      <c r="C2754" s="631"/>
      <c r="D2754" s="832"/>
      <c r="E2754" s="631"/>
      <c r="F2754" s="631"/>
      <c r="G2754" s="631"/>
      <c r="H2754" s="833"/>
      <c r="I2754" s="834"/>
      <c r="J2754" s="834"/>
      <c r="K2754" s="835"/>
      <c r="L2754" s="835"/>
      <c r="M2754" s="835"/>
      <c r="N2754" s="835"/>
      <c r="O2754" s="835"/>
      <c r="P2754" s="835"/>
      <c r="Q2754" s="540"/>
      <c r="R2754" s="540"/>
      <c r="S2754" s="540"/>
      <c r="T2754" s="540"/>
      <c r="U2754" s="540"/>
      <c r="V2754" s="540"/>
      <c r="W2754" s="540"/>
      <c r="X2754" s="540"/>
      <c r="Y2754" s="540"/>
      <c r="Z2754" s="540"/>
    </row>
    <row r="2755" spans="1:26" ht="19">
      <c r="A2755" s="631"/>
      <c r="B2755" s="631"/>
      <c r="C2755" s="631"/>
      <c r="D2755" s="832"/>
      <c r="E2755" s="631"/>
      <c r="F2755" s="631"/>
      <c r="G2755" s="631"/>
      <c r="H2755" s="833"/>
      <c r="I2755" s="834"/>
      <c r="J2755" s="834"/>
      <c r="K2755" s="835"/>
      <c r="L2755" s="835"/>
      <c r="M2755" s="835"/>
      <c r="N2755" s="835"/>
      <c r="O2755" s="835"/>
      <c r="P2755" s="835"/>
      <c r="Q2755" s="540"/>
      <c r="R2755" s="540"/>
      <c r="S2755" s="540"/>
      <c r="T2755" s="540"/>
      <c r="U2755" s="540"/>
      <c r="V2755" s="540"/>
      <c r="W2755" s="540"/>
      <c r="X2755" s="540"/>
      <c r="Y2755" s="540"/>
      <c r="Z2755" s="540"/>
    </row>
    <row r="2756" spans="1:26" ht="19">
      <c r="A2756" s="631"/>
      <c r="B2756" s="631"/>
      <c r="C2756" s="631"/>
      <c r="D2756" s="832"/>
      <c r="E2756" s="631"/>
      <c r="F2756" s="631"/>
      <c r="G2756" s="631"/>
      <c r="H2756" s="833"/>
      <c r="I2756" s="834"/>
      <c r="J2756" s="834"/>
      <c r="K2756" s="835"/>
      <c r="L2756" s="835"/>
      <c r="M2756" s="835"/>
      <c r="N2756" s="835"/>
      <c r="O2756" s="835"/>
      <c r="P2756" s="835"/>
      <c r="Q2756" s="540"/>
      <c r="R2756" s="540"/>
      <c r="S2756" s="540"/>
      <c r="T2756" s="540"/>
      <c r="U2756" s="540"/>
      <c r="V2756" s="540"/>
      <c r="W2756" s="540"/>
      <c r="X2756" s="540"/>
      <c r="Y2756" s="540"/>
      <c r="Z2756" s="540"/>
    </row>
    <row r="2757" spans="1:26" ht="19">
      <c r="A2757" s="631"/>
      <c r="B2757" s="631"/>
      <c r="C2757" s="631"/>
      <c r="D2757" s="832"/>
      <c r="E2757" s="631"/>
      <c r="F2757" s="631"/>
      <c r="G2757" s="631"/>
      <c r="H2757" s="833"/>
      <c r="I2757" s="834"/>
      <c r="J2757" s="834"/>
      <c r="K2757" s="835"/>
      <c r="L2757" s="835"/>
      <c r="M2757" s="835"/>
      <c r="N2757" s="835"/>
      <c r="O2757" s="835"/>
      <c r="P2757" s="835"/>
      <c r="Q2757" s="540"/>
      <c r="R2757" s="540"/>
      <c r="S2757" s="540"/>
      <c r="T2757" s="540"/>
      <c r="U2757" s="540"/>
      <c r="V2757" s="540"/>
      <c r="W2757" s="540"/>
      <c r="X2757" s="540"/>
      <c r="Y2757" s="540"/>
      <c r="Z2757" s="540"/>
    </row>
    <row r="2758" spans="1:26" ht="19">
      <c r="A2758" s="631"/>
      <c r="B2758" s="631"/>
      <c r="C2758" s="631"/>
      <c r="D2758" s="832"/>
      <c r="E2758" s="631"/>
      <c r="F2758" s="631"/>
      <c r="G2758" s="631"/>
      <c r="H2758" s="833"/>
      <c r="I2758" s="834"/>
      <c r="J2758" s="834"/>
      <c r="K2758" s="835"/>
      <c r="L2758" s="835"/>
      <c r="M2758" s="835"/>
      <c r="N2758" s="835"/>
      <c r="O2758" s="835"/>
      <c r="P2758" s="835"/>
      <c r="Q2758" s="540"/>
      <c r="R2758" s="540"/>
      <c r="S2758" s="540"/>
      <c r="T2758" s="540"/>
      <c r="U2758" s="540"/>
      <c r="V2758" s="540"/>
      <c r="W2758" s="540"/>
      <c r="X2758" s="540"/>
      <c r="Y2758" s="540"/>
      <c r="Z2758" s="540"/>
    </row>
    <row r="2759" spans="1:26" ht="19">
      <c r="A2759" s="631"/>
      <c r="B2759" s="631"/>
      <c r="C2759" s="631"/>
      <c r="D2759" s="832"/>
      <c r="E2759" s="631"/>
      <c r="F2759" s="631"/>
      <c r="G2759" s="631"/>
      <c r="H2759" s="833"/>
      <c r="I2759" s="834"/>
      <c r="J2759" s="834"/>
      <c r="K2759" s="835"/>
      <c r="L2759" s="835"/>
      <c r="M2759" s="835"/>
      <c r="N2759" s="835"/>
      <c r="O2759" s="835"/>
      <c r="P2759" s="835"/>
      <c r="Q2759" s="540"/>
      <c r="R2759" s="540"/>
      <c r="S2759" s="540"/>
      <c r="T2759" s="540"/>
      <c r="U2759" s="540"/>
      <c r="V2759" s="540"/>
      <c r="W2759" s="540"/>
      <c r="X2759" s="540"/>
      <c r="Y2759" s="540"/>
      <c r="Z2759" s="540"/>
    </row>
    <row r="2760" spans="1:26" ht="19">
      <c r="A2760" s="631"/>
      <c r="B2760" s="631"/>
      <c r="C2760" s="631"/>
      <c r="D2760" s="832"/>
      <c r="E2760" s="631"/>
      <c r="F2760" s="631"/>
      <c r="G2760" s="631"/>
      <c r="H2760" s="833"/>
      <c r="I2760" s="834"/>
      <c r="J2760" s="834"/>
      <c r="K2760" s="835"/>
      <c r="L2760" s="835"/>
      <c r="M2760" s="835"/>
      <c r="N2760" s="835"/>
      <c r="O2760" s="835"/>
      <c r="P2760" s="835"/>
      <c r="Q2760" s="540"/>
      <c r="R2760" s="540"/>
      <c r="S2760" s="540"/>
      <c r="T2760" s="540"/>
      <c r="U2760" s="540"/>
      <c r="V2760" s="540"/>
      <c r="W2760" s="540"/>
      <c r="X2760" s="540"/>
      <c r="Y2760" s="540"/>
      <c r="Z2760" s="540"/>
    </row>
    <row r="2761" spans="1:26" ht="19">
      <c r="A2761" s="631"/>
      <c r="B2761" s="631"/>
      <c r="C2761" s="631"/>
      <c r="D2761" s="832"/>
      <c r="E2761" s="631"/>
      <c r="F2761" s="631"/>
      <c r="G2761" s="631"/>
      <c r="H2761" s="833"/>
      <c r="I2761" s="834"/>
      <c r="J2761" s="834"/>
      <c r="K2761" s="835"/>
      <c r="L2761" s="835"/>
      <c r="M2761" s="835"/>
      <c r="N2761" s="835"/>
      <c r="O2761" s="835"/>
      <c r="P2761" s="835"/>
      <c r="Q2761" s="540"/>
      <c r="R2761" s="540"/>
      <c r="S2761" s="540"/>
      <c r="T2761" s="540"/>
      <c r="U2761" s="540"/>
      <c r="V2761" s="540"/>
      <c r="W2761" s="540"/>
      <c r="X2761" s="540"/>
      <c r="Y2761" s="540"/>
      <c r="Z2761" s="540"/>
    </row>
    <row r="2762" spans="1:26" ht="19">
      <c r="A2762" s="631"/>
      <c r="B2762" s="631"/>
      <c r="C2762" s="631"/>
      <c r="D2762" s="832"/>
      <c r="E2762" s="631"/>
      <c r="F2762" s="631"/>
      <c r="G2762" s="631"/>
      <c r="H2762" s="833"/>
      <c r="I2762" s="834"/>
      <c r="J2762" s="834"/>
      <c r="K2762" s="835"/>
      <c r="L2762" s="835"/>
      <c r="M2762" s="835"/>
      <c r="N2762" s="835"/>
      <c r="O2762" s="835"/>
      <c r="P2762" s="835"/>
      <c r="Q2762" s="540"/>
      <c r="R2762" s="540"/>
      <c r="S2762" s="540"/>
      <c r="T2762" s="540"/>
      <c r="U2762" s="540"/>
      <c r="V2762" s="540"/>
      <c r="W2762" s="540"/>
      <c r="X2762" s="540"/>
      <c r="Y2762" s="540"/>
      <c r="Z2762" s="540"/>
    </row>
    <row r="2763" spans="1:26" ht="19">
      <c r="A2763" s="631"/>
      <c r="B2763" s="631"/>
      <c r="C2763" s="631"/>
      <c r="D2763" s="832"/>
      <c r="E2763" s="631"/>
      <c r="F2763" s="631"/>
      <c r="G2763" s="631"/>
      <c r="H2763" s="833"/>
      <c r="I2763" s="834"/>
      <c r="J2763" s="834"/>
      <c r="K2763" s="835"/>
      <c r="L2763" s="835"/>
      <c r="M2763" s="835"/>
      <c r="N2763" s="835"/>
      <c r="O2763" s="835"/>
      <c r="P2763" s="835"/>
      <c r="Q2763" s="540"/>
      <c r="R2763" s="540"/>
      <c r="S2763" s="540"/>
      <c r="T2763" s="540"/>
      <c r="U2763" s="540"/>
      <c r="V2763" s="540"/>
      <c r="W2763" s="540"/>
      <c r="X2763" s="540"/>
      <c r="Y2763" s="540"/>
      <c r="Z2763" s="540"/>
    </row>
    <row r="2764" spans="1:26" ht="19">
      <c r="A2764" s="631"/>
      <c r="B2764" s="631"/>
      <c r="C2764" s="631"/>
      <c r="D2764" s="832"/>
      <c r="E2764" s="631"/>
      <c r="F2764" s="631"/>
      <c r="G2764" s="631"/>
      <c r="H2764" s="833"/>
      <c r="I2764" s="834"/>
      <c r="J2764" s="834"/>
      <c r="K2764" s="835"/>
      <c r="L2764" s="835"/>
      <c r="M2764" s="835"/>
      <c r="N2764" s="835"/>
      <c r="O2764" s="835"/>
      <c r="P2764" s="835"/>
      <c r="Q2764" s="540"/>
      <c r="R2764" s="540"/>
      <c r="S2764" s="540"/>
      <c r="T2764" s="540"/>
      <c r="U2764" s="540"/>
      <c r="V2764" s="540"/>
      <c r="W2764" s="540"/>
      <c r="X2764" s="540"/>
      <c r="Y2764" s="540"/>
      <c r="Z2764" s="540"/>
    </row>
    <row r="2765" spans="1:26" ht="19">
      <c r="A2765" s="631"/>
      <c r="B2765" s="631"/>
      <c r="C2765" s="631"/>
      <c r="D2765" s="832"/>
      <c r="E2765" s="631"/>
      <c r="F2765" s="631"/>
      <c r="G2765" s="631"/>
      <c r="H2765" s="833"/>
      <c r="I2765" s="834"/>
      <c r="J2765" s="834"/>
      <c r="K2765" s="835"/>
      <c r="L2765" s="835"/>
      <c r="M2765" s="835"/>
      <c r="N2765" s="835"/>
      <c r="O2765" s="835"/>
      <c r="P2765" s="835"/>
      <c r="Q2765" s="540"/>
      <c r="R2765" s="540"/>
      <c r="S2765" s="540"/>
      <c r="T2765" s="540"/>
      <c r="U2765" s="540"/>
      <c r="V2765" s="540"/>
      <c r="W2765" s="540"/>
      <c r="X2765" s="540"/>
      <c r="Y2765" s="540"/>
      <c r="Z2765" s="540"/>
    </row>
    <row r="2766" spans="1:26" ht="19">
      <c r="A2766" s="631"/>
      <c r="B2766" s="631"/>
      <c r="C2766" s="631"/>
      <c r="D2766" s="832"/>
      <c r="E2766" s="631"/>
      <c r="F2766" s="631"/>
      <c r="G2766" s="631"/>
      <c r="H2766" s="833"/>
      <c r="I2766" s="834"/>
      <c r="J2766" s="834"/>
      <c r="K2766" s="835"/>
      <c r="L2766" s="835"/>
      <c r="M2766" s="835"/>
      <c r="N2766" s="835"/>
      <c r="O2766" s="835"/>
      <c r="P2766" s="835"/>
      <c r="Q2766" s="540"/>
      <c r="R2766" s="540"/>
      <c r="S2766" s="540"/>
      <c r="T2766" s="540"/>
      <c r="U2766" s="540"/>
      <c r="V2766" s="540"/>
      <c r="W2766" s="540"/>
      <c r="X2766" s="540"/>
      <c r="Y2766" s="540"/>
      <c r="Z2766" s="540"/>
    </row>
    <row r="2767" spans="1:26" ht="19">
      <c r="A2767" s="631"/>
      <c r="B2767" s="631"/>
      <c r="C2767" s="631"/>
      <c r="D2767" s="832"/>
      <c r="E2767" s="631"/>
      <c r="F2767" s="631"/>
      <c r="G2767" s="631"/>
      <c r="H2767" s="833"/>
      <c r="I2767" s="834"/>
      <c r="J2767" s="834"/>
      <c r="K2767" s="835"/>
      <c r="L2767" s="835"/>
      <c r="M2767" s="835"/>
      <c r="N2767" s="835"/>
      <c r="O2767" s="835"/>
      <c r="P2767" s="835"/>
      <c r="Q2767" s="540"/>
      <c r="R2767" s="540"/>
      <c r="S2767" s="540"/>
      <c r="T2767" s="540"/>
      <c r="U2767" s="540"/>
      <c r="V2767" s="540"/>
      <c r="W2767" s="540"/>
      <c r="X2767" s="540"/>
      <c r="Y2767" s="540"/>
      <c r="Z2767" s="540"/>
    </row>
    <row r="2768" spans="1:26" ht="19">
      <c r="A2768" s="631"/>
      <c r="B2768" s="631"/>
      <c r="C2768" s="631"/>
      <c r="D2768" s="832"/>
      <c r="E2768" s="631"/>
      <c r="F2768" s="631"/>
      <c r="G2768" s="631"/>
      <c r="H2768" s="833"/>
      <c r="I2768" s="834"/>
      <c r="J2768" s="834"/>
      <c r="K2768" s="835"/>
      <c r="L2768" s="835"/>
      <c r="M2768" s="835"/>
      <c r="N2768" s="835"/>
      <c r="O2768" s="835"/>
      <c r="P2768" s="835"/>
      <c r="Q2768" s="540"/>
      <c r="R2768" s="540"/>
      <c r="S2768" s="540"/>
      <c r="T2768" s="540"/>
      <c r="U2768" s="540"/>
      <c r="V2768" s="540"/>
      <c r="W2768" s="540"/>
      <c r="X2768" s="540"/>
      <c r="Y2768" s="540"/>
      <c r="Z2768" s="540"/>
    </row>
    <row r="2769" spans="1:26" ht="19">
      <c r="A2769" s="631"/>
      <c r="B2769" s="631"/>
      <c r="C2769" s="631"/>
      <c r="D2769" s="832"/>
      <c r="E2769" s="631"/>
      <c r="F2769" s="631"/>
      <c r="G2769" s="631"/>
      <c r="H2769" s="833"/>
      <c r="I2769" s="834"/>
      <c r="J2769" s="834"/>
      <c r="K2769" s="835"/>
      <c r="L2769" s="835"/>
      <c r="M2769" s="835"/>
      <c r="N2769" s="835"/>
      <c r="O2769" s="835"/>
      <c r="P2769" s="835"/>
      <c r="Q2769" s="540"/>
      <c r="R2769" s="540"/>
      <c r="S2769" s="540"/>
      <c r="T2769" s="540"/>
      <c r="U2769" s="540"/>
      <c r="V2769" s="540"/>
      <c r="W2769" s="540"/>
      <c r="X2769" s="540"/>
      <c r="Y2769" s="540"/>
      <c r="Z2769" s="540"/>
    </row>
    <row r="2770" spans="1:26" ht="19">
      <c r="A2770" s="631"/>
      <c r="B2770" s="631"/>
      <c r="C2770" s="631"/>
      <c r="D2770" s="832"/>
      <c r="E2770" s="631"/>
      <c r="F2770" s="631"/>
      <c r="G2770" s="631"/>
      <c r="H2770" s="833"/>
      <c r="I2770" s="834"/>
      <c r="J2770" s="834"/>
      <c r="K2770" s="835"/>
      <c r="L2770" s="835"/>
      <c r="M2770" s="835"/>
      <c r="N2770" s="835"/>
      <c r="O2770" s="835"/>
      <c r="P2770" s="835"/>
      <c r="Q2770" s="540"/>
      <c r="R2770" s="540"/>
      <c r="S2770" s="540"/>
      <c r="T2770" s="540"/>
      <c r="U2770" s="540"/>
      <c r="V2770" s="540"/>
      <c r="W2770" s="540"/>
      <c r="X2770" s="540"/>
      <c r="Y2770" s="540"/>
      <c r="Z2770" s="540"/>
    </row>
    <row r="2771" spans="1:26" ht="19">
      <c r="A2771" s="631"/>
      <c r="B2771" s="631"/>
      <c r="C2771" s="631"/>
      <c r="D2771" s="832"/>
      <c r="E2771" s="631"/>
      <c r="F2771" s="631"/>
      <c r="G2771" s="631"/>
      <c r="H2771" s="833"/>
      <c r="I2771" s="834"/>
      <c r="J2771" s="834"/>
      <c r="K2771" s="835"/>
      <c r="L2771" s="835"/>
      <c r="M2771" s="835"/>
      <c r="N2771" s="835"/>
      <c r="O2771" s="835"/>
      <c r="P2771" s="835"/>
      <c r="Q2771" s="540"/>
      <c r="R2771" s="540"/>
      <c r="S2771" s="540"/>
      <c r="T2771" s="540"/>
      <c r="U2771" s="540"/>
      <c r="V2771" s="540"/>
      <c r="W2771" s="540"/>
      <c r="X2771" s="540"/>
      <c r="Y2771" s="540"/>
      <c r="Z2771" s="540"/>
    </row>
    <row r="2772" spans="1:26" ht="19">
      <c r="A2772" s="631"/>
      <c r="B2772" s="631"/>
      <c r="C2772" s="631"/>
      <c r="D2772" s="832"/>
      <c r="E2772" s="631"/>
      <c r="F2772" s="631"/>
      <c r="G2772" s="631"/>
      <c r="H2772" s="833"/>
      <c r="I2772" s="834"/>
      <c r="J2772" s="834"/>
      <c r="K2772" s="835"/>
      <c r="L2772" s="835"/>
      <c r="M2772" s="835"/>
      <c r="N2772" s="835"/>
      <c r="O2772" s="835"/>
      <c r="P2772" s="835"/>
      <c r="Q2772" s="540"/>
      <c r="R2772" s="540"/>
      <c r="S2772" s="540"/>
      <c r="T2772" s="540"/>
      <c r="U2772" s="540"/>
      <c r="V2772" s="540"/>
      <c r="W2772" s="540"/>
      <c r="X2772" s="540"/>
      <c r="Y2772" s="540"/>
      <c r="Z2772" s="540"/>
    </row>
    <row r="2773" spans="1:26" ht="19">
      <c r="A2773" s="631"/>
      <c r="B2773" s="631"/>
      <c r="C2773" s="631"/>
      <c r="D2773" s="832"/>
      <c r="E2773" s="631"/>
      <c r="F2773" s="631"/>
      <c r="G2773" s="631"/>
      <c r="H2773" s="833"/>
      <c r="I2773" s="834"/>
      <c r="J2773" s="834"/>
      <c r="K2773" s="835"/>
      <c r="L2773" s="835"/>
      <c r="M2773" s="835"/>
      <c r="N2773" s="835"/>
      <c r="O2773" s="835"/>
      <c r="P2773" s="835"/>
      <c r="Q2773" s="540"/>
      <c r="R2773" s="540"/>
      <c r="S2773" s="540"/>
      <c r="T2773" s="540"/>
      <c r="U2773" s="540"/>
      <c r="V2773" s="540"/>
      <c r="W2773" s="540"/>
      <c r="X2773" s="540"/>
      <c r="Y2773" s="540"/>
      <c r="Z2773" s="540"/>
    </row>
    <row r="2774" spans="1:26" ht="19">
      <c r="A2774" s="631"/>
      <c r="B2774" s="631"/>
      <c r="C2774" s="631"/>
      <c r="D2774" s="832"/>
      <c r="E2774" s="631"/>
      <c r="F2774" s="631"/>
      <c r="G2774" s="631"/>
      <c r="H2774" s="833"/>
      <c r="I2774" s="834"/>
      <c r="J2774" s="834"/>
      <c r="K2774" s="835"/>
      <c r="L2774" s="835"/>
      <c r="M2774" s="835"/>
      <c r="N2774" s="835"/>
      <c r="O2774" s="835"/>
      <c r="P2774" s="835"/>
      <c r="Q2774" s="540"/>
      <c r="R2774" s="540"/>
      <c r="S2774" s="540"/>
      <c r="T2774" s="540"/>
      <c r="U2774" s="540"/>
      <c r="V2774" s="540"/>
      <c r="W2774" s="540"/>
      <c r="X2774" s="540"/>
      <c r="Y2774" s="540"/>
      <c r="Z2774" s="540"/>
    </row>
    <row r="2775" spans="1:26" ht="19">
      <c r="A2775" s="631"/>
      <c r="B2775" s="631"/>
      <c r="C2775" s="631"/>
      <c r="D2775" s="832"/>
      <c r="E2775" s="631"/>
      <c r="F2775" s="631"/>
      <c r="G2775" s="631"/>
      <c r="H2775" s="833"/>
      <c r="I2775" s="834"/>
      <c r="J2775" s="834"/>
      <c r="K2775" s="835"/>
      <c r="L2775" s="835"/>
      <c r="M2775" s="835"/>
      <c r="N2775" s="835"/>
      <c r="O2775" s="835"/>
      <c r="P2775" s="835"/>
      <c r="Q2775" s="540"/>
      <c r="R2775" s="540"/>
      <c r="S2775" s="540"/>
      <c r="T2775" s="540"/>
      <c r="U2775" s="540"/>
      <c r="V2775" s="540"/>
      <c r="W2775" s="540"/>
      <c r="X2775" s="540"/>
      <c r="Y2775" s="540"/>
      <c r="Z2775" s="540"/>
    </row>
    <row r="2776" spans="1:26" ht="19">
      <c r="A2776" s="631"/>
      <c r="B2776" s="631"/>
      <c r="C2776" s="631"/>
      <c r="D2776" s="832"/>
      <c r="E2776" s="631"/>
      <c r="F2776" s="631"/>
      <c r="G2776" s="631"/>
      <c r="H2776" s="833"/>
      <c r="I2776" s="834"/>
      <c r="J2776" s="834"/>
      <c r="K2776" s="835"/>
      <c r="L2776" s="835"/>
      <c r="M2776" s="835"/>
      <c r="N2776" s="835"/>
      <c r="O2776" s="835"/>
      <c r="P2776" s="835"/>
      <c r="Q2776" s="540"/>
      <c r="R2776" s="540"/>
      <c r="S2776" s="540"/>
      <c r="T2776" s="540"/>
      <c r="U2776" s="540"/>
      <c r="V2776" s="540"/>
      <c r="W2776" s="540"/>
      <c r="X2776" s="540"/>
      <c r="Y2776" s="540"/>
      <c r="Z2776" s="540"/>
    </row>
    <row r="2777" spans="1:26" ht="19">
      <c r="A2777" s="631"/>
      <c r="B2777" s="631"/>
      <c r="C2777" s="631"/>
      <c r="D2777" s="832"/>
      <c r="E2777" s="631"/>
      <c r="F2777" s="631"/>
      <c r="G2777" s="631"/>
      <c r="H2777" s="833"/>
      <c r="I2777" s="834"/>
      <c r="J2777" s="834"/>
      <c r="K2777" s="835"/>
      <c r="L2777" s="835"/>
      <c r="M2777" s="835"/>
      <c r="N2777" s="835"/>
      <c r="O2777" s="835"/>
      <c r="P2777" s="835"/>
      <c r="Q2777" s="540"/>
      <c r="R2777" s="540"/>
      <c r="S2777" s="540"/>
      <c r="T2777" s="540"/>
      <c r="U2777" s="540"/>
      <c r="V2777" s="540"/>
      <c r="W2777" s="540"/>
      <c r="X2777" s="540"/>
      <c r="Y2777" s="540"/>
      <c r="Z2777" s="540"/>
    </row>
    <row r="2778" spans="1:26" ht="19">
      <c r="A2778" s="631"/>
      <c r="B2778" s="631"/>
      <c r="C2778" s="631"/>
      <c r="D2778" s="832"/>
      <c r="E2778" s="631"/>
      <c r="F2778" s="631"/>
      <c r="G2778" s="631"/>
      <c r="H2778" s="833"/>
      <c r="I2778" s="834"/>
      <c r="J2778" s="834"/>
      <c r="K2778" s="835"/>
      <c r="L2778" s="835"/>
      <c r="M2778" s="835"/>
      <c r="N2778" s="835"/>
      <c r="O2778" s="835"/>
      <c r="P2778" s="835"/>
      <c r="Q2778" s="540"/>
      <c r="R2778" s="540"/>
      <c r="S2778" s="540"/>
      <c r="T2778" s="540"/>
      <c r="U2778" s="540"/>
      <c r="V2778" s="540"/>
      <c r="W2778" s="540"/>
      <c r="X2778" s="540"/>
      <c r="Y2778" s="540"/>
      <c r="Z2778" s="540"/>
    </row>
    <row r="2779" spans="1:26" ht="19">
      <c r="A2779" s="631"/>
      <c r="B2779" s="631"/>
      <c r="C2779" s="631"/>
      <c r="D2779" s="832"/>
      <c r="E2779" s="631"/>
      <c r="F2779" s="631"/>
      <c r="G2779" s="631"/>
      <c r="H2779" s="833"/>
      <c r="I2779" s="834"/>
      <c r="J2779" s="834"/>
      <c r="K2779" s="835"/>
      <c r="L2779" s="835"/>
      <c r="M2779" s="835"/>
      <c r="N2779" s="835"/>
      <c r="O2779" s="835"/>
      <c r="P2779" s="835"/>
      <c r="Q2779" s="540"/>
      <c r="R2779" s="540"/>
      <c r="S2779" s="540"/>
      <c r="T2779" s="540"/>
      <c r="U2779" s="540"/>
      <c r="V2779" s="540"/>
      <c r="W2779" s="540"/>
      <c r="X2779" s="540"/>
      <c r="Y2779" s="540"/>
      <c r="Z2779" s="540"/>
    </row>
    <row r="2780" spans="1:26" ht="19">
      <c r="A2780" s="631"/>
      <c r="B2780" s="631"/>
      <c r="C2780" s="631"/>
      <c r="D2780" s="832"/>
      <c r="E2780" s="631"/>
      <c r="F2780" s="631"/>
      <c r="G2780" s="631"/>
      <c r="H2780" s="833"/>
      <c r="I2780" s="834"/>
      <c r="J2780" s="834"/>
      <c r="K2780" s="835"/>
      <c r="L2780" s="835"/>
      <c r="M2780" s="835"/>
      <c r="N2780" s="835"/>
      <c r="O2780" s="835"/>
      <c r="P2780" s="835"/>
      <c r="Q2780" s="540"/>
      <c r="R2780" s="540"/>
      <c r="S2780" s="540"/>
      <c r="T2780" s="540"/>
      <c r="U2780" s="540"/>
      <c r="V2780" s="540"/>
      <c r="W2780" s="540"/>
      <c r="X2780" s="540"/>
      <c r="Y2780" s="540"/>
      <c r="Z2780" s="540"/>
    </row>
    <row r="2781" spans="1:26" ht="19">
      <c r="A2781" s="631"/>
      <c r="B2781" s="631"/>
      <c r="C2781" s="631"/>
      <c r="D2781" s="832"/>
      <c r="E2781" s="631"/>
      <c r="F2781" s="631"/>
      <c r="G2781" s="631"/>
      <c r="H2781" s="833"/>
      <c r="I2781" s="834"/>
      <c r="J2781" s="834"/>
      <c r="K2781" s="835"/>
      <c r="L2781" s="835"/>
      <c r="M2781" s="835"/>
      <c r="N2781" s="835"/>
      <c r="O2781" s="835"/>
      <c r="P2781" s="835"/>
      <c r="Q2781" s="540"/>
      <c r="R2781" s="540"/>
      <c r="S2781" s="540"/>
      <c r="T2781" s="540"/>
      <c r="U2781" s="540"/>
      <c r="V2781" s="540"/>
      <c r="W2781" s="540"/>
      <c r="X2781" s="540"/>
      <c r="Y2781" s="540"/>
      <c r="Z2781" s="540"/>
    </row>
    <row r="2782" spans="1:26" ht="19">
      <c r="A2782" s="631"/>
      <c r="B2782" s="631"/>
      <c r="C2782" s="631"/>
      <c r="D2782" s="832"/>
      <c r="E2782" s="631"/>
      <c r="F2782" s="631"/>
      <c r="G2782" s="631"/>
      <c r="H2782" s="833"/>
      <c r="I2782" s="834"/>
      <c r="J2782" s="834"/>
      <c r="K2782" s="835"/>
      <c r="L2782" s="835"/>
      <c r="M2782" s="835"/>
      <c r="N2782" s="835"/>
      <c r="O2782" s="835"/>
      <c r="P2782" s="835"/>
      <c r="Q2782" s="540"/>
      <c r="R2782" s="540"/>
      <c r="S2782" s="540"/>
      <c r="T2782" s="540"/>
      <c r="U2782" s="540"/>
      <c r="V2782" s="540"/>
      <c r="W2782" s="540"/>
      <c r="X2782" s="540"/>
      <c r="Y2782" s="540"/>
      <c r="Z2782" s="540"/>
    </row>
    <row r="2783" spans="1:26" ht="19">
      <c r="A2783" s="631"/>
      <c r="B2783" s="631"/>
      <c r="C2783" s="631"/>
      <c r="D2783" s="832"/>
      <c r="E2783" s="631"/>
      <c r="F2783" s="631"/>
      <c r="G2783" s="631"/>
      <c r="H2783" s="833"/>
      <c r="I2783" s="834"/>
      <c r="J2783" s="834"/>
      <c r="K2783" s="835"/>
      <c r="L2783" s="835"/>
      <c r="M2783" s="835"/>
      <c r="N2783" s="835"/>
      <c r="O2783" s="835"/>
      <c r="P2783" s="835"/>
      <c r="Q2783" s="540"/>
      <c r="R2783" s="540"/>
      <c r="S2783" s="540"/>
      <c r="T2783" s="540"/>
      <c r="U2783" s="540"/>
      <c r="V2783" s="540"/>
      <c r="W2783" s="540"/>
      <c r="X2783" s="540"/>
      <c r="Y2783" s="540"/>
      <c r="Z2783" s="540"/>
    </row>
    <row r="2784" spans="1:26" ht="19">
      <c r="A2784" s="631"/>
      <c r="B2784" s="631"/>
      <c r="C2784" s="631"/>
      <c r="D2784" s="832"/>
      <c r="E2784" s="631"/>
      <c r="F2784" s="631"/>
      <c r="G2784" s="631"/>
      <c r="H2784" s="833"/>
      <c r="I2784" s="834"/>
      <c r="J2784" s="834"/>
      <c r="K2784" s="835"/>
      <c r="L2784" s="835"/>
      <c r="M2784" s="835"/>
      <c r="N2784" s="835"/>
      <c r="O2784" s="835"/>
      <c r="P2784" s="835"/>
      <c r="Q2784" s="540"/>
      <c r="R2784" s="540"/>
      <c r="S2784" s="540"/>
      <c r="T2784" s="540"/>
      <c r="U2784" s="540"/>
      <c r="V2784" s="540"/>
      <c r="W2784" s="540"/>
      <c r="X2784" s="540"/>
      <c r="Y2784" s="540"/>
      <c r="Z2784" s="540"/>
    </row>
    <row r="2785" spans="1:26" ht="19">
      <c r="A2785" s="631"/>
      <c r="B2785" s="631"/>
      <c r="C2785" s="631"/>
      <c r="D2785" s="832"/>
      <c r="E2785" s="631"/>
      <c r="F2785" s="631"/>
      <c r="G2785" s="631"/>
      <c r="H2785" s="833"/>
      <c r="I2785" s="834"/>
      <c r="J2785" s="834"/>
      <c r="K2785" s="835"/>
      <c r="L2785" s="835"/>
      <c r="M2785" s="835"/>
      <c r="N2785" s="835"/>
      <c r="O2785" s="835"/>
      <c r="P2785" s="835"/>
      <c r="Q2785" s="540"/>
      <c r="R2785" s="540"/>
      <c r="S2785" s="540"/>
      <c r="T2785" s="540"/>
      <c r="U2785" s="540"/>
      <c r="V2785" s="540"/>
      <c r="W2785" s="540"/>
      <c r="X2785" s="540"/>
      <c r="Y2785" s="540"/>
      <c r="Z2785" s="540"/>
    </row>
    <row r="2786" spans="1:26" ht="19">
      <c r="A2786" s="631"/>
      <c r="B2786" s="631"/>
      <c r="C2786" s="631"/>
      <c r="D2786" s="832"/>
      <c r="E2786" s="631"/>
      <c r="F2786" s="631"/>
      <c r="G2786" s="631"/>
      <c r="H2786" s="833"/>
      <c r="I2786" s="834"/>
      <c r="J2786" s="834"/>
      <c r="K2786" s="835"/>
      <c r="L2786" s="835"/>
      <c r="M2786" s="835"/>
      <c r="N2786" s="835"/>
      <c r="O2786" s="835"/>
      <c r="P2786" s="835"/>
      <c r="Q2786" s="540"/>
      <c r="R2786" s="540"/>
      <c r="S2786" s="540"/>
      <c r="T2786" s="540"/>
      <c r="U2786" s="540"/>
      <c r="V2786" s="540"/>
      <c r="W2786" s="540"/>
      <c r="X2786" s="540"/>
      <c r="Y2786" s="540"/>
      <c r="Z2786" s="540"/>
    </row>
    <row r="2787" spans="1:26" ht="19">
      <c r="A2787" s="631"/>
      <c r="B2787" s="631"/>
      <c r="C2787" s="631"/>
      <c r="D2787" s="832"/>
      <c r="E2787" s="631"/>
      <c r="F2787" s="631"/>
      <c r="G2787" s="631"/>
      <c r="H2787" s="833"/>
      <c r="I2787" s="834"/>
      <c r="J2787" s="834"/>
      <c r="K2787" s="835"/>
      <c r="L2787" s="835"/>
      <c r="M2787" s="835"/>
      <c r="N2787" s="835"/>
      <c r="O2787" s="835"/>
      <c r="P2787" s="835"/>
      <c r="Q2787" s="540"/>
      <c r="R2787" s="540"/>
      <c r="S2787" s="540"/>
      <c r="T2787" s="540"/>
      <c r="U2787" s="540"/>
      <c r="V2787" s="540"/>
      <c r="W2787" s="540"/>
      <c r="X2787" s="540"/>
      <c r="Y2787" s="540"/>
      <c r="Z2787" s="540"/>
    </row>
    <row r="2788" spans="1:26" ht="19">
      <c r="A2788" s="631"/>
      <c r="B2788" s="631"/>
      <c r="C2788" s="631"/>
      <c r="D2788" s="832"/>
      <c r="E2788" s="631"/>
      <c r="F2788" s="631"/>
      <c r="G2788" s="631"/>
      <c r="H2788" s="833"/>
      <c r="I2788" s="834"/>
      <c r="J2788" s="834"/>
      <c r="K2788" s="835"/>
      <c r="L2788" s="835"/>
      <c r="M2788" s="835"/>
      <c r="N2788" s="835"/>
      <c r="O2788" s="835"/>
      <c r="P2788" s="835"/>
      <c r="Q2788" s="540"/>
      <c r="R2788" s="540"/>
      <c r="S2788" s="540"/>
      <c r="T2788" s="540"/>
      <c r="U2788" s="540"/>
      <c r="V2788" s="540"/>
      <c r="W2788" s="540"/>
      <c r="X2788" s="540"/>
      <c r="Y2788" s="540"/>
      <c r="Z2788" s="540"/>
    </row>
    <row r="2789" spans="1:26" ht="19">
      <c r="A2789" s="631"/>
      <c r="B2789" s="631"/>
      <c r="C2789" s="631"/>
      <c r="D2789" s="832"/>
      <c r="E2789" s="631"/>
      <c r="F2789" s="631"/>
      <c r="G2789" s="631"/>
      <c r="H2789" s="833"/>
      <c r="I2789" s="834"/>
      <c r="J2789" s="834"/>
      <c r="K2789" s="835"/>
      <c r="L2789" s="835"/>
      <c r="M2789" s="835"/>
      <c r="N2789" s="835"/>
      <c r="O2789" s="835"/>
      <c r="P2789" s="835"/>
      <c r="Q2789" s="540"/>
      <c r="R2789" s="540"/>
      <c r="S2789" s="540"/>
      <c r="T2789" s="540"/>
      <c r="U2789" s="540"/>
      <c r="V2789" s="540"/>
      <c r="W2789" s="540"/>
      <c r="X2789" s="540"/>
      <c r="Y2789" s="540"/>
      <c r="Z2789" s="540"/>
    </row>
    <row r="2790" spans="1:26" ht="19">
      <c r="A2790" s="631"/>
      <c r="B2790" s="631"/>
      <c r="C2790" s="631"/>
      <c r="D2790" s="832"/>
      <c r="E2790" s="631"/>
      <c r="F2790" s="631"/>
      <c r="G2790" s="631"/>
      <c r="H2790" s="833"/>
      <c r="I2790" s="834"/>
      <c r="J2790" s="834"/>
      <c r="K2790" s="835"/>
      <c r="L2790" s="835"/>
      <c r="M2790" s="835"/>
      <c r="N2790" s="835"/>
      <c r="O2790" s="835"/>
      <c r="P2790" s="835"/>
      <c r="Q2790" s="540"/>
      <c r="R2790" s="540"/>
      <c r="S2790" s="540"/>
      <c r="T2790" s="540"/>
      <c r="U2790" s="540"/>
      <c r="V2790" s="540"/>
      <c r="W2790" s="540"/>
      <c r="X2790" s="540"/>
      <c r="Y2790" s="540"/>
      <c r="Z2790" s="540"/>
    </row>
    <row r="2791" spans="1:26" ht="19">
      <c r="A2791" s="631"/>
      <c r="B2791" s="631"/>
      <c r="C2791" s="631"/>
      <c r="D2791" s="832"/>
      <c r="E2791" s="631"/>
      <c r="F2791" s="631"/>
      <c r="G2791" s="631"/>
      <c r="H2791" s="833"/>
      <c r="I2791" s="834"/>
      <c r="J2791" s="834"/>
      <c r="K2791" s="835"/>
      <c r="L2791" s="835"/>
      <c r="M2791" s="835"/>
      <c r="N2791" s="835"/>
      <c r="O2791" s="835"/>
      <c r="P2791" s="835"/>
      <c r="Q2791" s="540"/>
      <c r="R2791" s="540"/>
      <c r="S2791" s="540"/>
      <c r="T2791" s="540"/>
      <c r="U2791" s="540"/>
      <c r="V2791" s="540"/>
      <c r="W2791" s="540"/>
      <c r="X2791" s="540"/>
      <c r="Y2791" s="540"/>
      <c r="Z2791" s="540"/>
    </row>
    <row r="2792" spans="1:26" ht="19">
      <c r="A2792" s="631"/>
      <c r="B2792" s="631"/>
      <c r="C2792" s="631"/>
      <c r="D2792" s="832"/>
      <c r="E2792" s="631"/>
      <c r="F2792" s="631"/>
      <c r="G2792" s="631"/>
      <c r="H2792" s="833"/>
      <c r="I2792" s="834"/>
      <c r="J2792" s="834"/>
      <c r="K2792" s="835"/>
      <c r="L2792" s="835"/>
      <c r="M2792" s="835"/>
      <c r="N2792" s="835"/>
      <c r="O2792" s="835"/>
      <c r="P2792" s="835"/>
      <c r="Q2792" s="540"/>
      <c r="R2792" s="540"/>
      <c r="S2792" s="540"/>
      <c r="T2792" s="540"/>
      <c r="U2792" s="540"/>
      <c r="V2792" s="540"/>
      <c r="W2792" s="540"/>
      <c r="X2792" s="540"/>
      <c r="Y2792" s="540"/>
      <c r="Z2792" s="540"/>
    </row>
    <row r="2793" spans="1:26" ht="19">
      <c r="A2793" s="631"/>
      <c r="B2793" s="631"/>
      <c r="C2793" s="631"/>
      <c r="D2793" s="832"/>
      <c r="E2793" s="631"/>
      <c r="F2793" s="631"/>
      <c r="G2793" s="631"/>
      <c r="H2793" s="833"/>
      <c r="I2793" s="834"/>
      <c r="J2793" s="834"/>
      <c r="K2793" s="835"/>
      <c r="L2793" s="835"/>
      <c r="M2793" s="835"/>
      <c r="N2793" s="835"/>
      <c r="O2793" s="835"/>
      <c r="P2793" s="835"/>
      <c r="Q2793" s="540"/>
      <c r="R2793" s="540"/>
      <c r="S2793" s="540"/>
      <c r="T2793" s="540"/>
      <c r="U2793" s="540"/>
      <c r="V2793" s="540"/>
      <c r="W2793" s="540"/>
      <c r="X2793" s="540"/>
      <c r="Y2793" s="540"/>
      <c r="Z2793" s="540"/>
    </row>
    <row r="2794" spans="1:26" ht="19">
      <c r="A2794" s="631"/>
      <c r="B2794" s="631"/>
      <c r="C2794" s="631"/>
      <c r="D2794" s="832"/>
      <c r="E2794" s="631"/>
      <c r="F2794" s="631"/>
      <c r="G2794" s="631"/>
      <c r="H2794" s="833"/>
      <c r="I2794" s="834"/>
      <c r="J2794" s="834"/>
      <c r="K2794" s="835"/>
      <c r="L2794" s="835"/>
      <c r="M2794" s="835"/>
      <c r="N2794" s="835"/>
      <c r="O2794" s="835"/>
      <c r="P2794" s="835"/>
      <c r="Q2794" s="540"/>
      <c r="R2794" s="540"/>
      <c r="S2794" s="540"/>
      <c r="T2794" s="540"/>
      <c r="U2794" s="540"/>
      <c r="V2794" s="540"/>
      <c r="W2794" s="540"/>
      <c r="X2794" s="540"/>
      <c r="Y2794" s="540"/>
      <c r="Z2794" s="540"/>
    </row>
    <row r="2795" spans="1:26" ht="19">
      <c r="A2795" s="631"/>
      <c r="B2795" s="631"/>
      <c r="C2795" s="631"/>
      <c r="D2795" s="832"/>
      <c r="E2795" s="631"/>
      <c r="F2795" s="631"/>
      <c r="G2795" s="631"/>
      <c r="H2795" s="833"/>
      <c r="I2795" s="834"/>
      <c r="J2795" s="834"/>
      <c r="K2795" s="835"/>
      <c r="L2795" s="835"/>
      <c r="M2795" s="835"/>
      <c r="N2795" s="835"/>
      <c r="O2795" s="835"/>
      <c r="P2795" s="835"/>
      <c r="Q2795" s="540"/>
      <c r="R2795" s="540"/>
      <c r="S2795" s="540"/>
      <c r="T2795" s="540"/>
      <c r="U2795" s="540"/>
      <c r="V2795" s="540"/>
      <c r="W2795" s="540"/>
      <c r="X2795" s="540"/>
      <c r="Y2795" s="540"/>
      <c r="Z2795" s="540"/>
    </row>
    <row r="2796" spans="1:26" ht="19">
      <c r="A2796" s="631"/>
      <c r="B2796" s="631"/>
      <c r="C2796" s="631"/>
      <c r="D2796" s="832"/>
      <c r="E2796" s="631"/>
      <c r="F2796" s="631"/>
      <c r="G2796" s="631"/>
      <c r="H2796" s="833"/>
      <c r="I2796" s="834"/>
      <c r="J2796" s="834"/>
      <c r="K2796" s="835"/>
      <c r="L2796" s="835"/>
      <c r="M2796" s="835"/>
      <c r="N2796" s="835"/>
      <c r="O2796" s="835"/>
      <c r="P2796" s="835"/>
      <c r="Q2796" s="540"/>
      <c r="R2796" s="540"/>
      <c r="S2796" s="540"/>
      <c r="T2796" s="540"/>
      <c r="U2796" s="540"/>
      <c r="V2796" s="540"/>
      <c r="W2796" s="540"/>
      <c r="X2796" s="540"/>
      <c r="Y2796" s="540"/>
      <c r="Z2796" s="540"/>
    </row>
    <row r="2797" spans="1:26" ht="19">
      <c r="A2797" s="631"/>
      <c r="B2797" s="631"/>
      <c r="C2797" s="631"/>
      <c r="D2797" s="832"/>
      <c r="E2797" s="631"/>
      <c r="F2797" s="631"/>
      <c r="G2797" s="631"/>
      <c r="H2797" s="833"/>
      <c r="I2797" s="834"/>
      <c r="J2797" s="834"/>
      <c r="K2797" s="835"/>
      <c r="L2797" s="835"/>
      <c r="M2797" s="835"/>
      <c r="N2797" s="835"/>
      <c r="O2797" s="835"/>
      <c r="P2797" s="835"/>
      <c r="Q2797" s="540"/>
      <c r="R2797" s="540"/>
      <c r="S2797" s="540"/>
      <c r="T2797" s="540"/>
      <c r="U2797" s="540"/>
      <c r="V2797" s="540"/>
      <c r="W2797" s="540"/>
      <c r="X2797" s="540"/>
      <c r="Y2797" s="540"/>
      <c r="Z2797" s="540"/>
    </row>
    <row r="2798" spans="1:26" ht="19">
      <c r="A2798" s="631"/>
      <c r="B2798" s="631"/>
      <c r="C2798" s="631"/>
      <c r="D2798" s="832"/>
      <c r="E2798" s="631"/>
      <c r="F2798" s="631"/>
      <c r="G2798" s="631"/>
      <c r="H2798" s="833"/>
      <c r="I2798" s="834"/>
      <c r="J2798" s="834"/>
      <c r="K2798" s="835"/>
      <c r="L2798" s="835"/>
      <c r="M2798" s="835"/>
      <c r="N2798" s="835"/>
      <c r="O2798" s="835"/>
      <c r="P2798" s="835"/>
      <c r="Q2798" s="540"/>
      <c r="R2798" s="540"/>
      <c r="S2798" s="540"/>
      <c r="T2798" s="540"/>
      <c r="U2798" s="540"/>
      <c r="V2798" s="540"/>
      <c r="W2798" s="540"/>
      <c r="X2798" s="540"/>
      <c r="Y2798" s="540"/>
      <c r="Z2798" s="540"/>
    </row>
    <row r="2799" spans="1:26" ht="19">
      <c r="A2799" s="631"/>
      <c r="B2799" s="631"/>
      <c r="C2799" s="631"/>
      <c r="D2799" s="832"/>
      <c r="E2799" s="631"/>
      <c r="F2799" s="631"/>
      <c r="G2799" s="631"/>
      <c r="H2799" s="833"/>
      <c r="I2799" s="834"/>
      <c r="J2799" s="834"/>
      <c r="K2799" s="835"/>
      <c r="L2799" s="835"/>
      <c r="M2799" s="835"/>
      <c r="N2799" s="835"/>
      <c r="O2799" s="835"/>
      <c r="P2799" s="835"/>
      <c r="Q2799" s="540"/>
      <c r="R2799" s="540"/>
      <c r="S2799" s="540"/>
      <c r="T2799" s="540"/>
      <c r="U2799" s="540"/>
      <c r="V2799" s="540"/>
      <c r="W2799" s="540"/>
      <c r="X2799" s="540"/>
      <c r="Y2799" s="540"/>
      <c r="Z2799" s="540"/>
    </row>
    <row r="2800" spans="1:26" ht="19">
      <c r="A2800" s="631"/>
      <c r="B2800" s="631"/>
      <c r="C2800" s="631"/>
      <c r="D2800" s="832"/>
      <c r="E2800" s="631"/>
      <c r="F2800" s="631"/>
      <c r="G2800" s="631"/>
      <c r="H2800" s="833"/>
      <c r="I2800" s="834"/>
      <c r="J2800" s="834"/>
      <c r="K2800" s="835"/>
      <c r="L2800" s="835"/>
      <c r="M2800" s="835"/>
      <c r="N2800" s="835"/>
      <c r="O2800" s="835"/>
      <c r="P2800" s="835"/>
      <c r="Q2800" s="540"/>
      <c r="R2800" s="540"/>
      <c r="S2800" s="540"/>
      <c r="T2800" s="540"/>
      <c r="U2800" s="540"/>
      <c r="V2800" s="540"/>
      <c r="W2800" s="540"/>
      <c r="X2800" s="540"/>
      <c r="Y2800" s="540"/>
      <c r="Z2800" s="540"/>
    </row>
    <row r="2801" spans="1:26" ht="19">
      <c r="A2801" s="631"/>
      <c r="B2801" s="631"/>
      <c r="C2801" s="631"/>
      <c r="D2801" s="832"/>
      <c r="E2801" s="631"/>
      <c r="F2801" s="631"/>
      <c r="G2801" s="631"/>
      <c r="H2801" s="833"/>
      <c r="I2801" s="834"/>
      <c r="J2801" s="834"/>
      <c r="K2801" s="835"/>
      <c r="L2801" s="835"/>
      <c r="M2801" s="835"/>
      <c r="N2801" s="835"/>
      <c r="O2801" s="835"/>
      <c r="P2801" s="835"/>
      <c r="Q2801" s="540"/>
      <c r="R2801" s="540"/>
      <c r="S2801" s="540"/>
      <c r="T2801" s="540"/>
      <c r="U2801" s="540"/>
      <c r="V2801" s="540"/>
      <c r="W2801" s="540"/>
      <c r="X2801" s="540"/>
      <c r="Y2801" s="540"/>
      <c r="Z2801" s="540"/>
    </row>
    <row r="2802" spans="1:26" ht="19">
      <c r="A2802" s="631"/>
      <c r="B2802" s="631"/>
      <c r="C2802" s="631"/>
      <c r="D2802" s="832"/>
      <c r="E2802" s="631"/>
      <c r="F2802" s="631"/>
      <c r="G2802" s="631"/>
      <c r="H2802" s="833"/>
      <c r="I2802" s="834"/>
      <c r="J2802" s="834"/>
      <c r="K2802" s="835"/>
      <c r="L2802" s="835"/>
      <c r="M2802" s="835"/>
      <c r="N2802" s="835"/>
      <c r="O2802" s="835"/>
      <c r="P2802" s="835"/>
      <c r="Q2802" s="540"/>
      <c r="R2802" s="540"/>
      <c r="S2802" s="540"/>
      <c r="T2802" s="540"/>
      <c r="U2802" s="540"/>
      <c r="V2802" s="540"/>
      <c r="W2802" s="540"/>
      <c r="X2802" s="540"/>
      <c r="Y2802" s="540"/>
      <c r="Z2802" s="540"/>
    </row>
    <row r="2803" spans="1:26" ht="19">
      <c r="A2803" s="631"/>
      <c r="B2803" s="631"/>
      <c r="C2803" s="631"/>
      <c r="D2803" s="832"/>
      <c r="E2803" s="631"/>
      <c r="F2803" s="631"/>
      <c r="G2803" s="631"/>
      <c r="H2803" s="833"/>
      <c r="I2803" s="834"/>
      <c r="J2803" s="834"/>
      <c r="K2803" s="835"/>
      <c r="L2803" s="835"/>
      <c r="M2803" s="835"/>
      <c r="N2803" s="835"/>
      <c r="O2803" s="835"/>
      <c r="P2803" s="835"/>
      <c r="Q2803" s="540"/>
      <c r="R2803" s="540"/>
      <c r="S2803" s="540"/>
      <c r="T2803" s="540"/>
      <c r="U2803" s="540"/>
      <c r="V2803" s="540"/>
      <c r="W2803" s="540"/>
      <c r="X2803" s="540"/>
      <c r="Y2803" s="540"/>
      <c r="Z2803" s="540"/>
    </row>
    <row r="2804" spans="1:26" ht="19">
      <c r="A2804" s="631"/>
      <c r="B2804" s="631"/>
      <c r="C2804" s="631"/>
      <c r="D2804" s="832"/>
      <c r="E2804" s="631"/>
      <c r="F2804" s="631"/>
      <c r="G2804" s="631"/>
      <c r="H2804" s="833"/>
      <c r="I2804" s="834"/>
      <c r="J2804" s="834"/>
      <c r="K2804" s="835"/>
      <c r="L2804" s="835"/>
      <c r="M2804" s="835"/>
      <c r="N2804" s="835"/>
      <c r="O2804" s="835"/>
      <c r="P2804" s="835"/>
      <c r="Q2804" s="540"/>
      <c r="R2804" s="540"/>
      <c r="S2804" s="540"/>
      <c r="T2804" s="540"/>
      <c r="U2804" s="540"/>
      <c r="V2804" s="540"/>
      <c r="W2804" s="540"/>
      <c r="X2804" s="540"/>
      <c r="Y2804" s="540"/>
      <c r="Z2804" s="540"/>
    </row>
    <row r="2805" spans="1:26" ht="19">
      <c r="A2805" s="631"/>
      <c r="B2805" s="631"/>
      <c r="C2805" s="631"/>
      <c r="D2805" s="832"/>
      <c r="E2805" s="631"/>
      <c r="F2805" s="631"/>
      <c r="G2805" s="631"/>
      <c r="H2805" s="833"/>
      <c r="I2805" s="834"/>
      <c r="J2805" s="834"/>
      <c r="K2805" s="835"/>
      <c r="L2805" s="835"/>
      <c r="M2805" s="835"/>
      <c r="N2805" s="835"/>
      <c r="O2805" s="835"/>
      <c r="P2805" s="835"/>
      <c r="Q2805" s="540"/>
      <c r="R2805" s="540"/>
      <c r="S2805" s="540"/>
      <c r="T2805" s="540"/>
      <c r="U2805" s="540"/>
      <c r="V2805" s="540"/>
      <c r="W2805" s="540"/>
      <c r="X2805" s="540"/>
      <c r="Y2805" s="540"/>
      <c r="Z2805" s="540"/>
    </row>
    <row r="2806" spans="1:26" ht="19">
      <c r="A2806" s="631"/>
      <c r="B2806" s="631"/>
      <c r="C2806" s="631"/>
      <c r="D2806" s="832"/>
      <c r="E2806" s="631"/>
      <c r="F2806" s="631"/>
      <c r="G2806" s="631"/>
      <c r="H2806" s="833"/>
      <c r="I2806" s="834"/>
      <c r="J2806" s="834"/>
      <c r="K2806" s="835"/>
      <c r="L2806" s="835"/>
      <c r="M2806" s="835"/>
      <c r="N2806" s="835"/>
      <c r="O2806" s="835"/>
      <c r="P2806" s="835"/>
      <c r="Q2806" s="540"/>
      <c r="R2806" s="540"/>
      <c r="S2806" s="540"/>
      <c r="T2806" s="540"/>
      <c r="U2806" s="540"/>
      <c r="V2806" s="540"/>
      <c r="W2806" s="540"/>
      <c r="X2806" s="540"/>
      <c r="Y2806" s="540"/>
      <c r="Z2806" s="540"/>
    </row>
    <row r="2807" spans="1:26" ht="19">
      <c r="A2807" s="631"/>
      <c r="B2807" s="631"/>
      <c r="C2807" s="631"/>
      <c r="D2807" s="832"/>
      <c r="E2807" s="631"/>
      <c r="F2807" s="631"/>
      <c r="G2807" s="631"/>
      <c r="H2807" s="833"/>
      <c r="I2807" s="834"/>
      <c r="J2807" s="834"/>
      <c r="K2807" s="835"/>
      <c r="L2807" s="835"/>
      <c r="M2807" s="835"/>
      <c r="N2807" s="835"/>
      <c r="O2807" s="835"/>
      <c r="P2807" s="835"/>
      <c r="Q2807" s="540"/>
      <c r="R2807" s="540"/>
      <c r="S2807" s="540"/>
      <c r="T2807" s="540"/>
      <c r="U2807" s="540"/>
      <c r="V2807" s="540"/>
      <c r="W2807" s="540"/>
      <c r="X2807" s="540"/>
      <c r="Y2807" s="540"/>
      <c r="Z2807" s="540"/>
    </row>
    <row r="2808" spans="1:26" ht="19">
      <c r="A2808" s="631"/>
      <c r="B2808" s="631"/>
      <c r="C2808" s="631"/>
      <c r="D2808" s="832"/>
      <c r="E2808" s="631"/>
      <c r="F2808" s="631"/>
      <c r="G2808" s="631"/>
      <c r="H2808" s="833"/>
      <c r="I2808" s="834"/>
      <c r="J2808" s="834"/>
      <c r="K2808" s="835"/>
      <c r="L2808" s="835"/>
      <c r="M2808" s="835"/>
      <c r="N2808" s="835"/>
      <c r="O2808" s="835"/>
      <c r="P2808" s="835"/>
      <c r="Q2808" s="540"/>
      <c r="R2808" s="540"/>
      <c r="S2808" s="540"/>
      <c r="T2808" s="540"/>
      <c r="U2808" s="540"/>
      <c r="V2808" s="540"/>
      <c r="W2808" s="540"/>
      <c r="X2808" s="540"/>
      <c r="Y2808" s="540"/>
      <c r="Z2808" s="540"/>
    </row>
    <row r="2809" spans="1:26" ht="19">
      <c r="A2809" s="631"/>
      <c r="B2809" s="631"/>
      <c r="C2809" s="631"/>
      <c r="D2809" s="832"/>
      <c r="E2809" s="631"/>
      <c r="F2809" s="631"/>
      <c r="G2809" s="631"/>
      <c r="H2809" s="833"/>
      <c r="I2809" s="834"/>
      <c r="J2809" s="834"/>
      <c r="K2809" s="835"/>
      <c r="L2809" s="835"/>
      <c r="M2809" s="835"/>
      <c r="N2809" s="835"/>
      <c r="O2809" s="835"/>
      <c r="P2809" s="835"/>
      <c r="Q2809" s="540"/>
      <c r="R2809" s="540"/>
      <c r="S2809" s="540"/>
      <c r="T2809" s="540"/>
      <c r="U2809" s="540"/>
      <c r="V2809" s="540"/>
      <c r="W2809" s="540"/>
      <c r="X2809" s="540"/>
      <c r="Y2809" s="540"/>
      <c r="Z2809" s="540"/>
    </row>
    <row r="2810" spans="1:26" ht="19">
      <c r="A2810" s="631"/>
      <c r="B2810" s="631"/>
      <c r="C2810" s="631"/>
      <c r="D2810" s="832"/>
      <c r="E2810" s="631"/>
      <c r="F2810" s="631"/>
      <c r="G2810" s="631"/>
      <c r="H2810" s="833"/>
      <c r="I2810" s="834"/>
      <c r="J2810" s="834"/>
      <c r="K2810" s="835"/>
      <c r="L2810" s="835"/>
      <c r="M2810" s="835"/>
      <c r="N2810" s="835"/>
      <c r="O2810" s="835"/>
      <c r="P2810" s="835"/>
      <c r="Q2810" s="540"/>
      <c r="R2810" s="540"/>
      <c r="S2810" s="540"/>
      <c r="T2810" s="540"/>
      <c r="U2810" s="540"/>
      <c r="V2810" s="540"/>
      <c r="W2810" s="540"/>
      <c r="X2810" s="540"/>
      <c r="Y2810" s="540"/>
      <c r="Z2810" s="540"/>
    </row>
    <row r="2811" spans="1:26" ht="19">
      <c r="A2811" s="631"/>
      <c r="B2811" s="631"/>
      <c r="C2811" s="631"/>
      <c r="D2811" s="832"/>
      <c r="E2811" s="631"/>
      <c r="F2811" s="631"/>
      <c r="G2811" s="631"/>
      <c r="H2811" s="833"/>
      <c r="I2811" s="834"/>
      <c r="J2811" s="834"/>
      <c r="K2811" s="835"/>
      <c r="L2811" s="835"/>
      <c r="M2811" s="835"/>
      <c r="N2811" s="835"/>
      <c r="O2811" s="835"/>
      <c r="P2811" s="835"/>
      <c r="Q2811" s="540"/>
      <c r="R2811" s="540"/>
      <c r="S2811" s="540"/>
      <c r="T2811" s="540"/>
      <c r="U2811" s="540"/>
      <c r="V2811" s="540"/>
      <c r="W2811" s="540"/>
      <c r="X2811" s="540"/>
      <c r="Y2811" s="540"/>
      <c r="Z2811" s="540"/>
    </row>
    <row r="2812" spans="1:26" ht="19">
      <c r="A2812" s="631"/>
      <c r="B2812" s="631"/>
      <c r="C2812" s="631"/>
      <c r="D2812" s="832"/>
      <c r="E2812" s="631"/>
      <c r="F2812" s="631"/>
      <c r="G2812" s="631"/>
      <c r="H2812" s="833"/>
      <c r="I2812" s="834"/>
      <c r="J2812" s="834"/>
      <c r="K2812" s="835"/>
      <c r="L2812" s="835"/>
      <c r="M2812" s="835"/>
      <c r="N2812" s="835"/>
      <c r="O2812" s="835"/>
      <c r="P2812" s="835"/>
      <c r="Q2812" s="540"/>
      <c r="R2812" s="540"/>
      <c r="S2812" s="540"/>
      <c r="T2812" s="540"/>
      <c r="U2812" s="540"/>
      <c r="V2812" s="540"/>
      <c r="W2812" s="540"/>
      <c r="X2812" s="540"/>
      <c r="Y2812" s="540"/>
      <c r="Z2812" s="540"/>
    </row>
    <row r="2813" spans="1:26" ht="19">
      <c r="A2813" s="631"/>
      <c r="B2813" s="631"/>
      <c r="C2813" s="631"/>
      <c r="D2813" s="832"/>
      <c r="E2813" s="631"/>
      <c r="F2813" s="631"/>
      <c r="G2813" s="631"/>
      <c r="H2813" s="833"/>
      <c r="I2813" s="834"/>
      <c r="J2813" s="834"/>
      <c r="K2813" s="835"/>
      <c r="L2813" s="835"/>
      <c r="M2813" s="835"/>
      <c r="N2813" s="835"/>
      <c r="O2813" s="835"/>
      <c r="P2813" s="835"/>
      <c r="Q2813" s="540"/>
      <c r="R2813" s="540"/>
      <c r="S2813" s="540"/>
      <c r="T2813" s="540"/>
      <c r="U2813" s="540"/>
      <c r="V2813" s="540"/>
      <c r="W2813" s="540"/>
      <c r="X2813" s="540"/>
      <c r="Y2813" s="540"/>
      <c r="Z2813" s="540"/>
    </row>
    <row r="2814" spans="1:26" ht="19">
      <c r="A2814" s="631"/>
      <c r="B2814" s="631"/>
      <c r="C2814" s="631"/>
      <c r="D2814" s="832"/>
      <c r="E2814" s="631"/>
      <c r="F2814" s="631"/>
      <c r="G2814" s="631"/>
      <c r="H2814" s="833"/>
      <c r="I2814" s="834"/>
      <c r="J2814" s="834"/>
      <c r="K2814" s="835"/>
      <c r="L2814" s="835"/>
      <c r="M2814" s="835"/>
      <c r="N2814" s="835"/>
      <c r="O2814" s="835"/>
      <c r="P2814" s="835"/>
      <c r="Q2814" s="540"/>
      <c r="R2814" s="540"/>
      <c r="S2814" s="540"/>
      <c r="T2814" s="540"/>
      <c r="U2814" s="540"/>
      <c r="V2814" s="540"/>
      <c r="W2814" s="540"/>
      <c r="X2814" s="540"/>
      <c r="Y2814" s="540"/>
      <c r="Z2814" s="540"/>
    </row>
    <row r="2815" spans="1:26" ht="19">
      <c r="A2815" s="631"/>
      <c r="B2815" s="631"/>
      <c r="C2815" s="631"/>
      <c r="D2815" s="832"/>
      <c r="E2815" s="631"/>
      <c r="F2815" s="631"/>
      <c r="G2815" s="631"/>
      <c r="H2815" s="833"/>
      <c r="I2815" s="834"/>
      <c r="J2815" s="834"/>
      <c r="K2815" s="835"/>
      <c r="L2815" s="835"/>
      <c r="M2815" s="835"/>
      <c r="N2815" s="835"/>
      <c r="O2815" s="835"/>
      <c r="P2815" s="835"/>
      <c r="Q2815" s="540"/>
      <c r="R2815" s="540"/>
      <c r="S2815" s="540"/>
      <c r="T2815" s="540"/>
      <c r="U2815" s="540"/>
      <c r="V2815" s="540"/>
      <c r="W2815" s="540"/>
      <c r="X2815" s="540"/>
      <c r="Y2815" s="540"/>
      <c r="Z2815" s="540"/>
    </row>
    <row r="2816" spans="1:26" ht="19">
      <c r="A2816" s="631"/>
      <c r="B2816" s="631"/>
      <c r="C2816" s="631"/>
      <c r="D2816" s="832"/>
      <c r="E2816" s="631"/>
      <c r="F2816" s="631"/>
      <c r="G2816" s="631"/>
      <c r="H2816" s="833"/>
      <c r="I2816" s="834"/>
      <c r="J2816" s="834"/>
      <c r="K2816" s="835"/>
      <c r="L2816" s="835"/>
      <c r="M2816" s="835"/>
      <c r="N2816" s="835"/>
      <c r="O2816" s="835"/>
      <c r="P2816" s="835"/>
      <c r="Q2816" s="540"/>
      <c r="R2816" s="540"/>
      <c r="S2816" s="540"/>
      <c r="T2816" s="540"/>
      <c r="U2816" s="540"/>
      <c r="V2816" s="540"/>
      <c r="W2816" s="540"/>
      <c r="X2816" s="540"/>
      <c r="Y2816" s="540"/>
      <c r="Z2816" s="540"/>
    </row>
    <row r="2817" spans="1:26" ht="19">
      <c r="A2817" s="631"/>
      <c r="B2817" s="631"/>
      <c r="C2817" s="631"/>
      <c r="D2817" s="832"/>
      <c r="E2817" s="631"/>
      <c r="F2817" s="631"/>
      <c r="G2817" s="631"/>
      <c r="H2817" s="833"/>
      <c r="I2817" s="834"/>
      <c r="J2817" s="834"/>
      <c r="K2817" s="835"/>
      <c r="L2817" s="835"/>
      <c r="M2817" s="835"/>
      <c r="N2817" s="835"/>
      <c r="O2817" s="835"/>
      <c r="P2817" s="835"/>
      <c r="Q2817" s="540"/>
      <c r="R2817" s="540"/>
      <c r="S2817" s="540"/>
      <c r="T2817" s="540"/>
      <c r="U2817" s="540"/>
      <c r="V2817" s="540"/>
      <c r="W2817" s="540"/>
      <c r="X2817" s="540"/>
      <c r="Y2817" s="540"/>
      <c r="Z2817" s="540"/>
    </row>
    <row r="2818" spans="1:26" ht="19">
      <c r="A2818" s="631"/>
      <c r="B2818" s="631"/>
      <c r="C2818" s="631"/>
      <c r="D2818" s="832"/>
      <c r="E2818" s="631"/>
      <c r="F2818" s="631"/>
      <c r="G2818" s="631"/>
      <c r="H2818" s="833"/>
      <c r="I2818" s="834"/>
      <c r="J2818" s="834"/>
      <c r="K2818" s="835"/>
      <c r="L2818" s="835"/>
      <c r="M2818" s="835"/>
      <c r="N2818" s="835"/>
      <c r="O2818" s="835"/>
      <c r="P2818" s="835"/>
      <c r="Q2818" s="540"/>
      <c r="R2818" s="540"/>
      <c r="S2818" s="540"/>
      <c r="T2818" s="540"/>
      <c r="U2818" s="540"/>
      <c r="V2818" s="540"/>
      <c r="W2818" s="540"/>
      <c r="X2818" s="540"/>
      <c r="Y2818" s="540"/>
      <c r="Z2818" s="540"/>
    </row>
    <row r="2819" spans="1:26" ht="19">
      <c r="A2819" s="631"/>
      <c r="B2819" s="631"/>
      <c r="C2819" s="631"/>
      <c r="D2819" s="832"/>
      <c r="E2819" s="631"/>
      <c r="F2819" s="631"/>
      <c r="G2819" s="631"/>
      <c r="H2819" s="833"/>
      <c r="I2819" s="834"/>
      <c r="J2819" s="834"/>
      <c r="K2819" s="835"/>
      <c r="L2819" s="835"/>
      <c r="M2819" s="835"/>
      <c r="N2819" s="835"/>
      <c r="O2819" s="835"/>
      <c r="P2819" s="835"/>
      <c r="Q2819" s="540"/>
      <c r="R2819" s="540"/>
      <c r="S2819" s="540"/>
      <c r="T2819" s="540"/>
      <c r="U2819" s="540"/>
      <c r="V2819" s="540"/>
      <c r="W2819" s="540"/>
      <c r="X2819" s="540"/>
      <c r="Y2819" s="540"/>
      <c r="Z2819" s="540"/>
    </row>
    <row r="2820" spans="1:26" ht="19">
      <c r="A2820" s="631"/>
      <c r="B2820" s="631"/>
      <c r="C2820" s="631"/>
      <c r="D2820" s="832"/>
      <c r="E2820" s="631"/>
      <c r="F2820" s="631"/>
      <c r="G2820" s="631"/>
      <c r="H2820" s="833"/>
      <c r="I2820" s="834"/>
      <c r="J2820" s="834"/>
      <c r="K2820" s="835"/>
      <c r="L2820" s="835"/>
      <c r="M2820" s="835"/>
      <c r="N2820" s="835"/>
      <c r="O2820" s="835"/>
      <c r="P2820" s="835"/>
      <c r="Q2820" s="540"/>
      <c r="R2820" s="540"/>
      <c r="S2820" s="540"/>
      <c r="T2820" s="540"/>
      <c r="U2820" s="540"/>
      <c r="V2820" s="540"/>
      <c r="W2820" s="540"/>
      <c r="X2820" s="540"/>
      <c r="Y2820" s="540"/>
      <c r="Z2820" s="540"/>
    </row>
    <row r="2821" spans="1:26" ht="19">
      <c r="A2821" s="631"/>
      <c r="B2821" s="631"/>
      <c r="C2821" s="631"/>
      <c r="D2821" s="832"/>
      <c r="E2821" s="631"/>
      <c r="F2821" s="631"/>
      <c r="G2821" s="631"/>
      <c r="H2821" s="833"/>
      <c r="I2821" s="834"/>
      <c r="J2821" s="834"/>
      <c r="K2821" s="835"/>
      <c r="L2821" s="835"/>
      <c r="M2821" s="835"/>
      <c r="N2821" s="835"/>
      <c r="O2821" s="835"/>
      <c r="P2821" s="835"/>
      <c r="Q2821" s="540"/>
      <c r="R2821" s="540"/>
      <c r="S2821" s="540"/>
      <c r="T2821" s="540"/>
      <c r="U2821" s="540"/>
      <c r="V2821" s="540"/>
      <c r="W2821" s="540"/>
      <c r="X2821" s="540"/>
      <c r="Y2821" s="540"/>
      <c r="Z2821" s="540"/>
    </row>
    <row r="2822" spans="1:26" ht="19">
      <c r="A2822" s="631"/>
      <c r="B2822" s="631"/>
      <c r="C2822" s="631"/>
      <c r="D2822" s="832"/>
      <c r="E2822" s="631"/>
      <c r="F2822" s="631"/>
      <c r="G2822" s="631"/>
      <c r="H2822" s="833"/>
      <c r="I2822" s="834"/>
      <c r="J2822" s="834"/>
      <c r="K2822" s="835"/>
      <c r="L2822" s="835"/>
      <c r="M2822" s="835"/>
      <c r="N2822" s="835"/>
      <c r="O2822" s="835"/>
      <c r="P2822" s="835"/>
      <c r="Q2822" s="540"/>
      <c r="R2822" s="540"/>
      <c r="S2822" s="540"/>
      <c r="T2822" s="540"/>
      <c r="U2822" s="540"/>
      <c r="V2822" s="540"/>
      <c r="W2822" s="540"/>
      <c r="X2822" s="540"/>
      <c r="Y2822" s="540"/>
      <c r="Z2822" s="540"/>
    </row>
    <row r="2823" spans="1:26" ht="19">
      <c r="A2823" s="631"/>
      <c r="B2823" s="631"/>
      <c r="C2823" s="631"/>
      <c r="D2823" s="832"/>
      <c r="E2823" s="631"/>
      <c r="F2823" s="631"/>
      <c r="G2823" s="631"/>
      <c r="H2823" s="833"/>
      <c r="I2823" s="834"/>
      <c r="J2823" s="834"/>
      <c r="K2823" s="835"/>
      <c r="L2823" s="835"/>
      <c r="M2823" s="835"/>
      <c r="N2823" s="835"/>
      <c r="O2823" s="835"/>
      <c r="P2823" s="835"/>
      <c r="Q2823" s="540"/>
      <c r="R2823" s="540"/>
      <c r="S2823" s="540"/>
      <c r="T2823" s="540"/>
      <c r="U2823" s="540"/>
      <c r="V2823" s="540"/>
      <c r="W2823" s="540"/>
      <c r="X2823" s="540"/>
      <c r="Y2823" s="540"/>
      <c r="Z2823" s="540"/>
    </row>
    <row r="2824" spans="1:26" ht="19">
      <c r="A2824" s="631"/>
      <c r="B2824" s="631"/>
      <c r="C2824" s="631"/>
      <c r="D2824" s="832"/>
      <c r="E2824" s="631"/>
      <c r="F2824" s="631"/>
      <c r="G2824" s="631"/>
      <c r="H2824" s="833"/>
      <c r="I2824" s="834"/>
      <c r="J2824" s="834"/>
      <c r="K2824" s="835"/>
      <c r="L2824" s="835"/>
      <c r="M2824" s="835"/>
      <c r="N2824" s="835"/>
      <c r="O2824" s="835"/>
      <c r="P2824" s="835"/>
      <c r="Q2824" s="540"/>
      <c r="R2824" s="540"/>
      <c r="S2824" s="540"/>
      <c r="T2824" s="540"/>
      <c r="U2824" s="540"/>
      <c r="V2824" s="540"/>
      <c r="W2824" s="540"/>
      <c r="X2824" s="540"/>
      <c r="Y2824" s="540"/>
      <c r="Z2824" s="540"/>
    </row>
    <row r="2825" spans="1:26" ht="19">
      <c r="A2825" s="631"/>
      <c r="B2825" s="631"/>
      <c r="C2825" s="631"/>
      <c r="D2825" s="832"/>
      <c r="E2825" s="631"/>
      <c r="F2825" s="631"/>
      <c r="G2825" s="631"/>
      <c r="H2825" s="833"/>
      <c r="I2825" s="834"/>
      <c r="J2825" s="834"/>
      <c r="K2825" s="835"/>
      <c r="L2825" s="835"/>
      <c r="M2825" s="835"/>
      <c r="N2825" s="835"/>
      <c r="O2825" s="835"/>
      <c r="P2825" s="835"/>
      <c r="Q2825" s="540"/>
      <c r="R2825" s="540"/>
      <c r="S2825" s="540"/>
      <c r="T2825" s="540"/>
      <c r="U2825" s="540"/>
      <c r="V2825" s="540"/>
      <c r="W2825" s="540"/>
      <c r="X2825" s="540"/>
      <c r="Y2825" s="540"/>
      <c r="Z2825" s="540"/>
    </row>
    <row r="2826" spans="1:26" ht="19">
      <c r="A2826" s="631"/>
      <c r="B2826" s="631"/>
      <c r="C2826" s="631"/>
      <c r="D2826" s="832"/>
      <c r="E2826" s="631"/>
      <c r="F2826" s="631"/>
      <c r="G2826" s="631"/>
      <c r="H2826" s="833"/>
      <c r="I2826" s="834"/>
      <c r="J2826" s="834"/>
      <c r="K2826" s="835"/>
      <c r="L2826" s="835"/>
      <c r="M2826" s="835"/>
      <c r="N2826" s="835"/>
      <c r="O2826" s="835"/>
      <c r="P2826" s="835"/>
      <c r="Q2826" s="540"/>
      <c r="R2826" s="540"/>
      <c r="S2826" s="540"/>
      <c r="T2826" s="540"/>
      <c r="U2826" s="540"/>
      <c r="V2826" s="540"/>
      <c r="W2826" s="540"/>
      <c r="X2826" s="540"/>
      <c r="Y2826" s="540"/>
      <c r="Z2826" s="540"/>
    </row>
    <row r="2827" spans="1:26" ht="19">
      <c r="A2827" s="631"/>
      <c r="B2827" s="631"/>
      <c r="C2827" s="631"/>
      <c r="D2827" s="832"/>
      <c r="E2827" s="631"/>
      <c r="F2827" s="631"/>
      <c r="G2827" s="631"/>
      <c r="H2827" s="833"/>
      <c r="I2827" s="834"/>
      <c r="J2827" s="834"/>
      <c r="K2827" s="835"/>
      <c r="L2827" s="835"/>
      <c r="M2827" s="835"/>
      <c r="N2827" s="835"/>
      <c r="O2827" s="835"/>
      <c r="P2827" s="835"/>
      <c r="Q2827" s="540"/>
      <c r="R2827" s="540"/>
      <c r="S2827" s="540"/>
      <c r="T2827" s="540"/>
      <c r="U2827" s="540"/>
      <c r="V2827" s="540"/>
      <c r="W2827" s="540"/>
      <c r="X2827" s="540"/>
      <c r="Y2827" s="540"/>
      <c r="Z2827" s="540"/>
    </row>
    <row r="2828" spans="1:26" ht="19">
      <c r="A2828" s="631"/>
      <c r="B2828" s="631"/>
      <c r="C2828" s="631"/>
      <c r="D2828" s="832"/>
      <c r="E2828" s="631"/>
      <c r="F2828" s="631"/>
      <c r="G2828" s="631"/>
      <c r="H2828" s="833"/>
      <c r="I2828" s="834"/>
      <c r="J2828" s="834"/>
      <c r="K2828" s="835"/>
      <c r="L2828" s="835"/>
      <c r="M2828" s="835"/>
      <c r="N2828" s="835"/>
      <c r="O2828" s="835"/>
      <c r="P2828" s="835"/>
      <c r="Q2828" s="540"/>
      <c r="R2828" s="540"/>
      <c r="S2828" s="540"/>
      <c r="T2828" s="540"/>
      <c r="U2828" s="540"/>
      <c r="V2828" s="540"/>
      <c r="W2828" s="540"/>
      <c r="X2828" s="540"/>
      <c r="Y2828" s="540"/>
      <c r="Z2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E8AD-06F7-45B2-8044-4A7B18E9376B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339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6484262</v>
      </c>
      <c r="N8" s="22">
        <f t="shared" ca="1" si="0"/>
        <v>5656312.75</v>
      </c>
      <c r="O8" s="22">
        <f t="shared" ref="O8:O16" ca="1" si="1">IF(L8&gt;0,N8*100/L8,0)</f>
        <v>83.20830833740574</v>
      </c>
      <c r="P8" s="22">
        <f t="shared" ref="P8:P16" ca="1" si="2">IF(M8&gt;0,N8*100/M8,0)</f>
        <v>87.231403512072774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6484262</v>
      </c>
      <c r="N10" s="30">
        <f t="shared" ca="1" si="3"/>
        <v>5656312.75</v>
      </c>
      <c r="O10" s="30">
        <f t="shared" ca="1" si="1"/>
        <v>83.20830833740574</v>
      </c>
      <c r="P10" s="30">
        <f t="shared" ca="1" si="2"/>
        <v>87.231403512072774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3523674</v>
      </c>
      <c r="M11" s="38">
        <f t="shared" ca="1" si="4"/>
        <v>3681204.94</v>
      </c>
      <c r="N11" s="38">
        <f t="shared" ca="1" si="4"/>
        <v>2853255.69</v>
      </c>
      <c r="O11" s="38">
        <f t="shared" ca="1" si="1"/>
        <v>80.973883792882091</v>
      </c>
      <c r="P11" s="38">
        <f t="shared" ca="1" si="2"/>
        <v>77.508743373575939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3523674</v>
      </c>
      <c r="M13" s="45">
        <f t="shared" ca="1" si="5"/>
        <v>3681204.94</v>
      </c>
      <c r="N13" s="45">
        <f t="shared" ca="1" si="5"/>
        <v>2853255.69</v>
      </c>
      <c r="O13" s="45">
        <f t="shared" ca="1" si="1"/>
        <v>80.973883792882091</v>
      </c>
      <c r="P13" s="45">
        <f t="shared" ca="1" si="2"/>
        <v>77.508743373575939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3274100</v>
      </c>
      <c r="M14" s="38">
        <f t="shared" ca="1" si="6"/>
        <v>2803057.06</v>
      </c>
      <c r="N14" s="38">
        <f t="shared" ca="1" si="6"/>
        <v>2803057.06</v>
      </c>
      <c r="O14" s="38">
        <f t="shared" ca="1" si="1"/>
        <v>85.613055801594328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2803057.06</v>
      </c>
      <c r="N16" s="52">
        <f t="shared" ca="1" si="7"/>
        <v>2803057.06</v>
      </c>
      <c r="O16" s="52">
        <f t="shared" ca="1" si="1"/>
        <v>85.613055801594328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5841354</v>
      </c>
      <c r="N18" s="22">
        <f t="shared" ca="1" si="8"/>
        <v>5355002.75</v>
      </c>
      <c r="O18" s="22">
        <f t="shared" ref="O18:O26" ca="1" si="9">IF(L18&gt;0,N18*100/L18,0)</f>
        <v>87.004375887306082</v>
      </c>
      <c r="P18" s="22">
        <f t="shared" ref="P18:P26" ca="1" si="10">IF(M18&gt;0,N18*100/M18,0)</f>
        <v>91.673998014843818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5841354</v>
      </c>
      <c r="N20" s="30">
        <f t="shared" ca="1" si="11"/>
        <v>5355002.75</v>
      </c>
      <c r="O20" s="30">
        <f t="shared" ca="1" si="9"/>
        <v>87.004375887306082</v>
      </c>
      <c r="P20" s="30">
        <f t="shared" ca="1" si="10"/>
        <v>91.673998014843818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2880766</v>
      </c>
      <c r="M21" s="38">
        <f t="shared" ca="1" si="12"/>
        <v>3038296.94</v>
      </c>
      <c r="N21" s="38">
        <f t="shared" ca="1" si="12"/>
        <v>2551945.69</v>
      </c>
      <c r="O21" s="38">
        <f t="shared" ca="1" si="9"/>
        <v>88.585664021305448</v>
      </c>
      <c r="P21" s="38">
        <f t="shared" ca="1" si="10"/>
        <v>83.992636019308904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2880766</v>
      </c>
      <c r="M23" s="45">
        <f t="shared" ca="1" si="13"/>
        <v>3038296.94</v>
      </c>
      <c r="N23" s="45">
        <f t="shared" ca="1" si="13"/>
        <v>2551945.69</v>
      </c>
      <c r="O23" s="45">
        <f t="shared" ca="1" si="9"/>
        <v>88.585664021305448</v>
      </c>
      <c r="P23" s="45">
        <f t="shared" ca="1" si="10"/>
        <v>83.992636019308904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3274100</v>
      </c>
      <c r="M24" s="38">
        <f t="shared" ca="1" si="14"/>
        <v>2803057.06</v>
      </c>
      <c r="N24" s="38">
        <f t="shared" ca="1" si="14"/>
        <v>2803057.06</v>
      </c>
      <c r="O24" s="38">
        <f t="shared" ca="1" si="9"/>
        <v>85.613055801594328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2803057.06</v>
      </c>
      <c r="N26" s="52">
        <f t="shared" ca="1" si="15"/>
        <v>2803057.06</v>
      </c>
      <c r="O26" s="52">
        <f t="shared" ca="1" si="9"/>
        <v>85.613055801594328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301310</v>
      </c>
      <c r="O28" s="22">
        <f t="shared" ref="O28:O37" ca="1" si="17">IF(L28&gt;0,N28*100/L28,0)</f>
        <v>46.866736764824829</v>
      </c>
      <c r="P28" s="22">
        <f t="shared" ref="P28:P37" ca="1" si="18">IF(M28&gt;0,N28*100/M28,0)</f>
        <v>46.866736764824829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301310</v>
      </c>
      <c r="O30" s="30">
        <f t="shared" ca="1" si="17"/>
        <v>46.866736764824829</v>
      </c>
      <c r="P30" s="30">
        <f t="shared" ca="1" si="18"/>
        <v>46.866736764824829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642908</v>
      </c>
      <c r="M31" s="38">
        <f t="shared" ca="1" si="20"/>
        <v>642908</v>
      </c>
      <c r="N31" s="38">
        <f t="shared" si="20"/>
        <v>301310</v>
      </c>
      <c r="O31" s="38">
        <f t="shared" ca="1" si="17"/>
        <v>46.866736764824829</v>
      </c>
      <c r="P31" s="38">
        <f t="shared" ca="1" si="18"/>
        <v>46.866736764824829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642908</v>
      </c>
      <c r="M33" s="45">
        <f t="shared" ca="1" si="21"/>
        <v>642908</v>
      </c>
      <c r="N33" s="45">
        <f t="shared" si="21"/>
        <v>301310</v>
      </c>
      <c r="O33" s="45">
        <f t="shared" ca="1" si="17"/>
        <v>46.866736764824829</v>
      </c>
      <c r="P33" s="45">
        <f t="shared" ca="1" si="18"/>
        <v>46.866736764824829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5841354</v>
      </c>
      <c r="N37" s="59">
        <f t="shared" ca="1" si="24"/>
        <v>5355002.75</v>
      </c>
      <c r="O37" s="59">
        <f t="shared" ca="1" si="17"/>
        <v>87.004375887306082</v>
      </c>
      <c r="P37" s="59">
        <f t="shared" ca="1" si="18"/>
        <v>91.673998014843818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323211.94</v>
      </c>
      <c r="N41" s="85">
        <f t="shared" ca="1" si="25"/>
        <v>256942.31</v>
      </c>
      <c r="O41" s="85">
        <f t="shared" ref="O41:O49" ca="1" si="26">IF(L41&gt;0,N41*100/L41,0)</f>
        <v>82.899056609861077</v>
      </c>
      <c r="P41" s="85">
        <f t="shared" ref="P41:P49" ca="1" si="27">IF(M41&gt;0,N41*100/M41,0)</f>
        <v>79.496540257763996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323211.94</v>
      </c>
      <c r="N43" s="92">
        <f t="shared" ca="1" si="28"/>
        <v>256942.31</v>
      </c>
      <c r="O43" s="92">
        <f t="shared" ca="1" si="26"/>
        <v>82.899056609861077</v>
      </c>
      <c r="P43" s="92">
        <f t="shared" ca="1" si="27"/>
        <v>79.496540257763996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309946</v>
      </c>
      <c r="M44" s="38">
        <f t="shared" ca="1" si="29"/>
        <v>323211.94</v>
      </c>
      <c r="N44" s="38">
        <f t="shared" ca="1" si="29"/>
        <v>256942.31</v>
      </c>
      <c r="O44" s="38">
        <f t="shared" ca="1" si="26"/>
        <v>82.899056609861077</v>
      </c>
      <c r="P44" s="38">
        <f t="shared" ca="1" si="27"/>
        <v>79.496540257763996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IFERROR(__xludf.DUMMYFUNCTION("IMPORTRANGE(""https://docs.google.com/spreadsheets/d/1MeEWN-I1oV_STSDYn1IFDPWt_1FKiwhDph83XaGc0o0/edit?usp=sharing"",""งบพรบ!M57"")"),309946)</f>
        <v>309946</v>
      </c>
      <c r="M46" s="45">
        <f ca="1">IFERROR(__xludf.DUMMYFUNCTION("IMPORTRANGE(""https://docs.google.com/spreadsheets/d/1MeEWN-I1oV_STSDYn1IFDPWt_1FKiwhDph83XaGc0o0/edit?usp=sharing"",""งบพรบ!R57"")"),323211.94)</f>
        <v>323211.94</v>
      </c>
      <c r="N46" s="45">
        <f ca="1">IFERROR(__xludf.DUMMYFUNCTION("IMPORTRANGE(""https://docs.google.com/spreadsheets/d/1MeEWN-I1oV_STSDYn1IFDPWt_1FKiwhDph83XaGc0o0/edit?usp=sharing"",""งบพรบ!T57"")"),256942.31)</f>
        <v>256942.31</v>
      </c>
      <c r="O46" s="45">
        <f t="shared" ca="1" si="26"/>
        <v>82.899056609861077</v>
      </c>
      <c r="P46" s="45">
        <f t="shared" ca="1" si="27"/>
        <v>79.496540257763996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3823100</v>
      </c>
      <c r="M53" s="115">
        <f t="shared" ca="1" si="31"/>
        <v>3438357.06</v>
      </c>
      <c r="N53" s="115">
        <f t="shared" ca="1" si="31"/>
        <v>3339097.81</v>
      </c>
      <c r="O53" s="115">
        <f t="shared" ref="O53:O61" ca="1" si="32">IF(L53&gt;0,N53*100/L53,0)</f>
        <v>87.340059375899145</v>
      </c>
      <c r="P53" s="115">
        <f t="shared" ref="P53:P61" ca="1" si="33">IF(M53&gt;0,N53*100/M53,0)</f>
        <v>97.113177943188944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3823100</v>
      </c>
      <c r="M55" s="122">
        <f t="shared" ca="1" si="34"/>
        <v>3438357.06</v>
      </c>
      <c r="N55" s="122">
        <f t="shared" ca="1" si="34"/>
        <v>3339097.81</v>
      </c>
      <c r="O55" s="122">
        <f t="shared" ca="1" si="32"/>
        <v>87.340059375899145</v>
      </c>
      <c r="P55" s="122">
        <f t="shared" ca="1" si="33"/>
        <v>97.113177943188944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623100</v>
      </c>
      <c r="M56" s="38">
        <f t="shared" ca="1" si="35"/>
        <v>709400</v>
      </c>
      <c r="N56" s="38">
        <f t="shared" ca="1" si="35"/>
        <v>610140.75</v>
      </c>
      <c r="O56" s="38">
        <f t="shared" ca="1" si="32"/>
        <v>97.920197400096299</v>
      </c>
      <c r="P56" s="38">
        <f t="shared" ca="1" si="33"/>
        <v>86.007999718071616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IFERROR(__xludf.DUMMYFUNCTION("IMPORTRANGE(""https://docs.google.com/spreadsheets/d/1MeEWN-I1oV_STSDYn1IFDPWt_1FKiwhDph83XaGc0o0/edit?usp=sharing"",""งบพรบ!W57"")"),623100)</f>
        <v>623100</v>
      </c>
      <c r="M58" s="45">
        <f ca="1">IFERROR(__xludf.DUMMYFUNCTION("IMPORTRANGE(""https://docs.google.com/spreadsheets/d/1MeEWN-I1oV_STSDYn1IFDPWt_1FKiwhDph83XaGc0o0/edit?usp=sharing"",""งบพรบ!AB57"")"),709400)</f>
        <v>709400</v>
      </c>
      <c r="N58" s="45">
        <f ca="1">IFERROR(__xludf.DUMMYFUNCTION("IMPORTRANGE(""https://docs.google.com/spreadsheets/d/1MeEWN-I1oV_STSDYn1IFDPWt_1FKiwhDph83XaGc0o0/edit?usp=sharing"",""งบพรบ!AD57"")"),610140.75)</f>
        <v>610140.75</v>
      </c>
      <c r="O58" s="45">
        <f t="shared" ca="1" si="32"/>
        <v>97.920197400096299</v>
      </c>
      <c r="P58" s="45">
        <f t="shared" ca="1" si="33"/>
        <v>86.007999718071616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3200000</v>
      </c>
      <c r="M59" s="38">
        <f t="shared" ca="1" si="36"/>
        <v>2728957.06</v>
      </c>
      <c r="N59" s="38">
        <f t="shared" ca="1" si="36"/>
        <v>2728957.06</v>
      </c>
      <c r="O59" s="38">
        <f t="shared" ca="1" si="32"/>
        <v>85.279908125000006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IFERROR(__xludf.DUMMYFUNCTION("IMPORTRANGE(""https://docs.google.com/spreadsheets/d/1MeEWN-I1oV_STSDYn1IFDPWt_1FKiwhDph83XaGc0o0/edit?usp=sharing"",""งบพรบ!AC57"")"),2728957.06)</f>
        <v>2728957.06</v>
      </c>
      <c r="N61" s="52">
        <f ca="1">IFERROR(__xludf.DUMMYFUNCTION("IMPORTRANGE(""https://docs.google.com/spreadsheets/d/1MeEWN-I1oV_STSDYn1IFDPWt_1FKiwhDph83XaGc0o0/edit?usp=sharing"",""งบพรบ!AE57"")"),2728957.06)</f>
        <v>2728957.06</v>
      </c>
      <c r="O61" s="52">
        <f t="shared" ca="1" si="32"/>
        <v>85.279908125000006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64</v>
      </c>
      <c r="J65" s="143">
        <f t="shared" si="37"/>
        <v>64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1150600</v>
      </c>
      <c r="M66" s="154">
        <f t="shared" ca="1" si="39"/>
        <v>1161210</v>
      </c>
      <c r="N66" s="154">
        <f t="shared" ca="1" si="39"/>
        <v>991492.63</v>
      </c>
      <c r="O66" s="154">
        <f t="shared" ref="O66:O74" ca="1" si="40">IF(L66&gt;0,N66*100/L66,0)</f>
        <v>86.171791239353382</v>
      </c>
      <c r="P66" s="154">
        <f t="shared" ref="P66:P74" ca="1" si="41">IF(M66&gt;0,N66*100/M66,0)</f>
        <v>85.384437784724554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1150600</v>
      </c>
      <c r="M68" s="45">
        <f t="shared" ca="1" si="42"/>
        <v>1161210</v>
      </c>
      <c r="N68" s="45">
        <f t="shared" ca="1" si="42"/>
        <v>991492.63</v>
      </c>
      <c r="O68" s="45">
        <f t="shared" ca="1" si="40"/>
        <v>86.171791239353382</v>
      </c>
      <c r="P68" s="45">
        <f t="shared" ca="1" si="41"/>
        <v>85.384437784724554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1150600</v>
      </c>
      <c r="M69" s="38">
        <f t="shared" ca="1" si="43"/>
        <v>1161210</v>
      </c>
      <c r="N69" s="38">
        <f t="shared" ca="1" si="43"/>
        <v>991492.63</v>
      </c>
      <c r="O69" s="38">
        <f t="shared" ca="1" si="40"/>
        <v>86.171791239353382</v>
      </c>
      <c r="P69" s="38">
        <f t="shared" ca="1" si="41"/>
        <v>85.384437784724554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IFERROR(__xludf.DUMMYFUNCTION("IMPORTRANGE(""https://docs.google.com/spreadsheets/d/1MeEWN-I1oV_STSDYn1IFDPWt_1FKiwhDph83XaGc0o0/edit?usp=sharing"",""งบพรบ!AG57"")"),1150600)</f>
        <v>1150600</v>
      </c>
      <c r="M71" s="45">
        <f ca="1">IFERROR(__xludf.DUMMYFUNCTION("IMPORTRANGE(""https://docs.google.com/spreadsheets/d/1MeEWN-I1oV_STSDYn1IFDPWt_1FKiwhDph83XaGc0o0/edit?usp=sharing"",""งบพรบ!AL57"")"),1161210)</f>
        <v>1161210</v>
      </c>
      <c r="N71" s="45">
        <f ca="1">IFERROR(__xludf.DUMMYFUNCTION("IMPORTRANGE(""https://docs.google.com/spreadsheets/d/1MeEWN-I1oV_STSDYn1IFDPWt_1FKiwhDph83XaGc0o0/edit?usp=sharing"",""งบพรบ!AN57"")"),991492.63)</f>
        <v>991492.63</v>
      </c>
      <c r="O71" s="45">
        <f t="shared" ca="1" si="40"/>
        <v>86.171791239353382</v>
      </c>
      <c r="P71" s="45">
        <f t="shared" ca="1" si="41"/>
        <v>85.384437784724554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IFERROR(__xludf.DUMMYFUNCTION("IMPORTRANGE(""https://docs.google.com/spreadsheets/d/1MeEWN-I1oV_STSDYn1IFDPWt_1FKiwhDph83XaGc0o0/edit?usp=sharing"",""งบพรบ!AJ57"")"),0)</f>
        <v>0</v>
      </c>
      <c r="M74" s="45">
        <f ca="1">IFERROR(__xludf.DUMMYFUNCTION("IMPORTRANGE(""https://docs.google.com/spreadsheets/d/1MeEWN-I1oV_STSDYn1IFDPWt_1FKiwhDph83XaGc0o0/edit?usp=sharing"",""งบพรบ!AM57"")"),0)</f>
        <v>0</v>
      </c>
      <c r="N74" s="45">
        <f ca="1">IFERROR(__xludf.DUMMYFUNCTION("IMPORTRANGE(""https://docs.google.com/spreadsheets/d/1MeEWN-I1oV_STSDYn1IFDPWt_1FKiwhDph83XaGc0o0/edit?usp=sharing"",""งบพรบ!AO57"")"),0)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64</v>
      </c>
      <c r="J77" s="37">
        <f t="shared" si="45"/>
        <v>64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IFERROR(__xludf.DUMMYFUNCTION("IMPORTRANGE(""https://docs.google.com/spreadsheets/d/1QqKyyYR6Q21VydFLVH3TRQUabQu_ym0Zz7PgGX0-kHA/edit?usp=sharing"",""แผน!H57"")"),1)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IFERROR(__xludf.DUMMYFUNCTION("IMPORTRANGE(""https://docs.google.com/spreadsheets/d/1QqKyyYR6Q21VydFLVH3TRQUabQu_ym0Zz7PgGX0-kHA/edit?usp=sharing"",""แผน!I57"")"),34)</f>
        <v>34</v>
      </c>
      <c r="J79" s="181">
        <v>34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IFERROR(__xludf.DUMMYFUNCTION("IMPORTRANGE(""https://docs.google.com/spreadsheets/d/1QqKyyYR6Q21VydFLVH3TRQUabQu_ym0Zz7PgGX0-kHA/edit?usp=sharing"",""แผน!D57"")"),1)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IFERROR(__xludf.DUMMYFUNCTION("IMPORTRANGE(""https://docs.google.com/spreadsheets/d/1QqKyyYR6Q21VydFLVH3TRQUabQu_ym0Zz7PgGX0-kHA/edit?usp=sharing"",""แผน!E57"")"),30)</f>
        <v>30</v>
      </c>
      <c r="J83" s="181">
        <v>30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IFERROR(__xludf.DUMMYFUNCTION("IMPORTRANGE(""https://docs.google.com/spreadsheets/d/1QqKyyYR6Q21VydFLVH3TRQUabQu_ym0Zz7PgGX0-kHA/edit?usp=sharing"",""แผน!J57"")"),2)</f>
        <v>2</v>
      </c>
      <c r="J84" s="181">
        <v>1</v>
      </c>
      <c r="K84" s="162">
        <f t="shared" ca="1" si="46"/>
        <v>50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90</v>
      </c>
      <c r="J86" s="143">
        <f t="shared" si="47"/>
        <v>90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30</v>
      </c>
      <c r="J87" s="143">
        <f t="shared" si="47"/>
        <v>30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136220</v>
      </c>
      <c r="M88" s="154">
        <f t="shared" ca="1" si="49"/>
        <v>136220</v>
      </c>
      <c r="N88" s="154">
        <f t="shared" ca="1" si="49"/>
        <v>133230</v>
      </c>
      <c r="O88" s="154">
        <f t="shared" ref="O88:O96" ca="1" si="50">IF(L88&gt;0,N88*100/L88,0)</f>
        <v>97.805021289091172</v>
      </c>
      <c r="P88" s="154">
        <f t="shared" ref="P88:P96" ca="1" si="51">IF(M88&gt;0,N88*100/M88,0)</f>
        <v>97.805021289091172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136220</v>
      </c>
      <c r="M90" s="45">
        <f t="shared" ca="1" si="52"/>
        <v>136220</v>
      </c>
      <c r="N90" s="45">
        <f t="shared" ca="1" si="52"/>
        <v>133230</v>
      </c>
      <c r="O90" s="45">
        <f t="shared" ca="1" si="50"/>
        <v>97.805021289091172</v>
      </c>
      <c r="P90" s="45">
        <f t="shared" ca="1" si="51"/>
        <v>97.805021289091172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136220</v>
      </c>
      <c r="M91" s="38">
        <f t="shared" ca="1" si="53"/>
        <v>136220</v>
      </c>
      <c r="N91" s="38">
        <f t="shared" ca="1" si="53"/>
        <v>133230</v>
      </c>
      <c r="O91" s="38">
        <f t="shared" ca="1" si="50"/>
        <v>97.805021289091172</v>
      </c>
      <c r="P91" s="38">
        <f t="shared" ca="1" si="51"/>
        <v>97.805021289091172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IFERROR(__xludf.DUMMYFUNCTION("IMPORTRANGE(""https://docs.google.com/spreadsheets/d/1MeEWN-I1oV_STSDYn1IFDPWt_1FKiwhDph83XaGc0o0/edit?usp=sharing"",""งบพรบ!AQ57"")"),136220)</f>
        <v>136220</v>
      </c>
      <c r="M93" s="45">
        <f ca="1">IFERROR(__xludf.DUMMYFUNCTION("IMPORTRANGE(""https://docs.google.com/spreadsheets/d/1MeEWN-I1oV_STSDYn1IFDPWt_1FKiwhDph83XaGc0o0/edit?usp=sharing"",""งบพรบ!AV57"")"),136220)</f>
        <v>136220</v>
      </c>
      <c r="N93" s="45">
        <f ca="1">IFERROR(__xludf.DUMMYFUNCTION("IMPORTRANGE(""https://docs.google.com/spreadsheets/d/1MeEWN-I1oV_STSDYn1IFDPWt_1FKiwhDph83XaGc0o0/edit?usp=sharing"",""งบพรบ!AX57"")"),133230)</f>
        <v>133230</v>
      </c>
      <c r="O93" s="45">
        <f t="shared" ca="1" si="50"/>
        <v>97.805021289091172</v>
      </c>
      <c r="P93" s="45">
        <f t="shared" ca="1" si="51"/>
        <v>97.805021289091172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IFERROR(__xludf.DUMMYFUNCTION("IMPORTRANGE(""https://docs.google.com/spreadsheets/d/1MeEWN-I1oV_STSDYn1IFDPWt_1FKiwhDph83XaGc0o0/edit?usp=sharing"",""งบพรบ!AT57"")"),0)</f>
        <v>0</v>
      </c>
      <c r="M96" s="45">
        <f ca="1">IFERROR(__xludf.DUMMYFUNCTION("IMPORTRANGE(""https://docs.google.com/spreadsheets/d/1MeEWN-I1oV_STSDYn1IFDPWt_1FKiwhDph83XaGc0o0/edit?usp=sharing"",""งบพรบ!AW57"")"),0)</f>
        <v>0</v>
      </c>
      <c r="N96" s="45">
        <f ca="1">IFERROR(__xludf.DUMMYFUNCTION("IMPORTRANGE(""https://docs.google.com/spreadsheets/d/1MeEWN-I1oV_STSDYn1IFDPWt_1FKiwhDph83XaGc0o0/edit?usp=sharing"",""งบพรบ!AY57"")"),0)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IFERROR(__xludf.DUMMYFUNCTION("IMPORTRANGE(""https://docs.google.com/spreadsheets/d/1QqKyyYR6Q21VydFLVH3TRQUabQu_ym0Zz7PgGX0-kHA/edit?usp=sharing"",""แผน!K57"")"),90)</f>
        <v>90</v>
      </c>
      <c r="J98" s="37">
        <f>J102</f>
        <v>90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IFERROR(__xludf.DUMMYFUNCTION("IMPORTRANGE(""https://docs.google.com/spreadsheets/d/1QqKyyYR6Q21VydFLVH3TRQUabQu_ym0Zz7PgGX0-kHA/edit?usp=sharing"",""แผน!L57"")"),30)</f>
        <v>30</v>
      </c>
      <c r="J99" s="37">
        <f>J104</f>
        <v>30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IFERROR(__xludf.DUMMYFUNCTION("IMPORTRANGE(""https://docs.google.com/spreadsheets/d/1QqKyyYR6Q21VydFLVH3TRQUabQu_ym0Zz7PgGX0-kHA/edit?usp=sharing"",""แผน!M57"")"),2)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IFERROR(__xludf.DUMMYFUNCTION("IMPORTRANGE(""https://docs.google.com/spreadsheets/d/1QqKyyYR6Q21VydFLVH3TRQUabQu_ym0Zz7PgGX0-kHA/edit?usp=sharing"",""แผน!N57"")"),90)</f>
        <v>90</v>
      </c>
      <c r="J102" s="181">
        <v>90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IFERROR(__xludf.DUMMYFUNCTION("IMPORTRANGE(""https://docs.google.com/spreadsheets/d/1QqKyyYR6Q21VydFLVH3TRQUabQu_ym0Zz7PgGX0-kHA/edit?usp=sharing"",""แผน!O57"")"),30)</f>
        <v>30</v>
      </c>
      <c r="J103" s="181">
        <v>30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IFERROR(__xludf.DUMMYFUNCTION("IMPORTRANGE(""https://docs.google.com/spreadsheets/d/1QqKyyYR6Q21VydFLVH3TRQUabQu_ym0Zz7PgGX0-kHA/edit?usp=sharing"",""แผน!O57"")"),30)</f>
        <v>30</v>
      </c>
      <c r="J104" s="181">
        <v>30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IFERROR(__xludf.DUMMYFUNCTION("IMPORTRANGE(""https://docs.google.com/spreadsheets/d/1QqKyyYR6Q21VydFLVH3TRQUabQu_ym0Zz7PgGX0-kHA/edit?usp=sharing"",""แผน!P57"")"),1)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IFERROR(__xludf.DUMMYFUNCTION("IMPORTRANGE(""https://docs.google.com/spreadsheets/d/1QqKyyYR6Q21VydFLVH3TRQUabQu_ym0Zz7PgGX0-kHA/edit?usp=sharing"",""แผน!P57"")"),1)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IFERROR(__xludf.DUMMYFUNCTION("IMPORTRANGE(""https://docs.google.com/spreadsheets/d/1QqKyyYR6Q21VydFLVH3TRQUabQu_ym0Zz7PgGX0-kHA/edit?usp=sharing"",""แผน!Q57"")"),1)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IFERROR(__xludf.DUMMYFUNCTION("IMPORTRANGE(""https://docs.google.com/spreadsheets/d/1QqKyyYR6Q21VydFLVH3TRQUabQu_ym0Zz7PgGX0-kHA/edit?usp=sharing"",""แผน!Q57"")"),1)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IFERROR(__xludf.DUMMYFUNCTION("IMPORTRANGE(""https://docs.google.com/spreadsheets/d/1QqKyyYR6Q21VydFLVH3TRQUabQu_ym0Zz7PgGX0-kHA/edit?usp=sharing"",""แผน!R57"")"),30)</f>
        <v>30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IFERROR(__xludf.DUMMYFUNCTION("IMPORTRANGE(""https://docs.google.com/spreadsheets/d/1QqKyyYR6Q21VydFLVH3TRQUabQu_ym0Zz7PgGX0-kHA/edit?usp=sharing"",""แผน!R57"")"),30)</f>
        <v>30</v>
      </c>
      <c r="J113" s="181">
        <v>30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IFERROR(__xludf.DUMMYFUNCTION("IMPORTRANGE(""https://docs.google.com/spreadsheets/d/1QqKyyYR6Q21VydFLVH3TRQUabQu_ym0Zz7PgGX0-kHA/edit?usp=sharing"",""แผน!R57"")"),30)</f>
        <v>30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IFERROR(__xludf.DUMMYFUNCTION("IMPORTRANGE(""https://docs.google.com/spreadsheets/d/1QqKyyYR6Q21VydFLVH3TRQUabQu_ym0Zz7PgGX0-kHA/edit?usp=sharing"",""แผน!S57"")"),1)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IFERROR(__xludf.DUMMYFUNCTION("IMPORTRANGE(""https://docs.google.com/spreadsheets/d/1QqKyyYR6Q21VydFLVH3TRQUabQu_ym0Zz7PgGX0-kHA/edit?usp=sharing"",""แผน!T57"")"),1)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IFERROR(__xludf.DUMMYFUNCTION("IMPORTRANGE(""https://docs.google.com/spreadsheets/d/1MeEWN-I1oV_STSDYn1IFDPWt_1FKiwhDph83XaGc0o0/edit?usp=sharing"",""งบพรบ!BA57"")"),0)</f>
        <v>0</v>
      </c>
      <c r="M124" s="45">
        <f ca="1">IFERROR(__xludf.DUMMYFUNCTION("IMPORTRANGE(""https://docs.google.com/spreadsheets/d/1MeEWN-I1oV_STSDYn1IFDPWt_1FKiwhDph83XaGc0o0/edit?usp=sharing"",""งบพรบ!BF57"")"),0)</f>
        <v>0</v>
      </c>
      <c r="N124" s="45">
        <f ca="1">IFERROR(__xludf.DUMMYFUNCTION("IMPORTRANGE(""https://docs.google.com/spreadsheets/d/1MeEWN-I1oV_STSDYn1IFDPWt_1FKiwhDph83XaGc0o0/edit?usp=sharing"",""งบพรบ!BH57"")"),0)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IFERROR(__xludf.DUMMYFUNCTION("IMPORTRANGE(""https://docs.google.com/spreadsheets/d/1MeEWN-I1oV_STSDYn1IFDPWt_1FKiwhDph83XaGc0o0/edit?usp=sharing"",""งบพรบ!BD57"")"),0)</f>
        <v>0</v>
      </c>
      <c r="M127" s="45">
        <f ca="1">IFERROR(__xludf.DUMMYFUNCTION("IMPORTRANGE(""https://docs.google.com/spreadsheets/d/1MeEWN-I1oV_STSDYn1IFDPWt_1FKiwhDph83XaGc0o0/edit?usp=sharing"",""งบพรบ!BG57"")"),0)</f>
        <v>0</v>
      </c>
      <c r="N127" s="45">
        <f ca="1">IFERROR(__xludf.DUMMYFUNCTION("IMPORTRANGE(""https://docs.google.com/spreadsheets/d/1MeEWN-I1oV_STSDYn1IFDPWt_1FKiwhDph83XaGc0o0/edit?usp=sharing"",""งบพรบ!BI57"")"),0)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IFERROR(__xludf.DUMMYFUNCTION("IMPORTRANGE(""https://docs.google.com/spreadsheets/d/1MeEWN-I1oV_STSDYn1IFDPWt_1FKiwhDph83XaGc0o0/edit?usp=sharing"",""งบพรบ!BK57"")"),0)</f>
        <v>0</v>
      </c>
      <c r="M137" s="45">
        <f ca="1">IFERROR(__xludf.DUMMYFUNCTION("IMPORTRANGE(""https://docs.google.com/spreadsheets/d/1MeEWN-I1oV_STSDYn1IFDPWt_1FKiwhDph83XaGc0o0/edit?usp=sharing"",""งบพรบ!BP57"")"),0)</f>
        <v>0</v>
      </c>
      <c r="N137" s="45">
        <f ca="1">IFERROR(__xludf.DUMMYFUNCTION("IMPORTRANGE(""https://docs.google.com/spreadsheets/d/1MeEWN-I1oV_STSDYn1IFDPWt_1FKiwhDph83XaGc0o0/edit?usp=sharing"",""งบพรบ!BR57"")"),0)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IFERROR(__xludf.DUMMYFUNCTION("IMPORTRANGE(""https://docs.google.com/spreadsheets/d/1MeEWN-I1oV_STSDYn1IFDPWt_1FKiwhDph83XaGc0o0/edit?usp=sharing"",""งบพรบ!BN57"")"),0)</f>
        <v>0</v>
      </c>
      <c r="M140" s="45">
        <f ca="1">IFERROR(__xludf.DUMMYFUNCTION("IMPORTRANGE(""https://docs.google.com/spreadsheets/d/1MeEWN-I1oV_STSDYn1IFDPWt_1FKiwhDph83XaGc0o0/edit?usp=sharing"",""งบพรบ!BQ57"")"),0)</f>
        <v>0</v>
      </c>
      <c r="N140" s="45">
        <f ca="1">IFERROR(__xludf.DUMMYFUNCTION("IMPORTRANGE(""https://docs.google.com/spreadsheets/d/1MeEWN-I1oV_STSDYn1IFDPWt_1FKiwhDph83XaGc0o0/edit?usp=sharing"",""งบพรบ!BS57"")"),0)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10</v>
      </c>
      <c r="J148" s="143">
        <f t="shared" si="76"/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5000</v>
      </c>
      <c r="M149" s="154">
        <f t="shared" ca="1" si="77"/>
        <v>5000</v>
      </c>
      <c r="N149" s="154">
        <f t="shared" ca="1" si="77"/>
        <v>5000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5000</v>
      </c>
      <c r="M151" s="45">
        <f t="shared" ca="1" si="80"/>
        <v>5000</v>
      </c>
      <c r="N151" s="45">
        <f t="shared" ca="1" si="80"/>
        <v>5000</v>
      </c>
      <c r="O151" s="45">
        <f t="shared" ca="1" si="78"/>
        <v>100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5000</v>
      </c>
      <c r="M152" s="38">
        <f t="shared" ca="1" si="81"/>
        <v>5000</v>
      </c>
      <c r="N152" s="38">
        <f t="shared" ca="1" si="81"/>
        <v>5000</v>
      </c>
      <c r="O152" s="38">
        <f t="shared" ca="1" si="78"/>
        <v>100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IFERROR(__xludf.DUMMYFUNCTION("IMPORTRANGE(""https://docs.google.com/spreadsheets/d/1MeEWN-I1oV_STSDYn1IFDPWt_1FKiwhDph83XaGc0o0/edit?usp=sharing"",""งบพรบ!BU57"")"),5000)</f>
        <v>5000</v>
      </c>
      <c r="M154" s="45">
        <f ca="1">IFERROR(__xludf.DUMMYFUNCTION("IMPORTRANGE(""https://docs.google.com/spreadsheets/d/1MeEWN-I1oV_STSDYn1IFDPWt_1FKiwhDph83XaGc0o0/edit?usp=sharing"",""งบพรบ!BZ57"")"),5000)</f>
        <v>5000</v>
      </c>
      <c r="N154" s="45">
        <f ca="1">IFERROR(__xludf.DUMMYFUNCTION("IMPORTRANGE(""https://docs.google.com/spreadsheets/d/1MeEWN-I1oV_STSDYn1IFDPWt_1FKiwhDph83XaGc0o0/edit?usp=sharing"",""งบพรบ!CB57"")"),5000)</f>
        <v>5000</v>
      </c>
      <c r="O154" s="45">
        <f t="shared" ca="1" si="78"/>
        <v>100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IFERROR(__xludf.DUMMYFUNCTION("IMPORTRANGE(""https://docs.google.com/spreadsheets/d/1MeEWN-I1oV_STSDYn1IFDPWt_1FKiwhDph83XaGc0o0/edit?usp=sharing"",""งบพรบ!BX57"")"),0)</f>
        <v>0</v>
      </c>
      <c r="M157" s="45">
        <f ca="1">IFERROR(__xludf.DUMMYFUNCTION("IMPORTRANGE(""https://docs.google.com/spreadsheets/d/1MeEWN-I1oV_STSDYn1IFDPWt_1FKiwhDph83XaGc0o0/edit?usp=sharing"",""งบพรบ!CA57"")"),0)</f>
        <v>0</v>
      </c>
      <c r="N157" s="45">
        <f ca="1">IFERROR(__xludf.DUMMYFUNCTION("IMPORTRANGE(""https://docs.google.com/spreadsheets/d/1MeEWN-I1oV_STSDYn1IFDPWt_1FKiwhDph83XaGc0o0/edit?usp=sharing"",""งบพรบ!CC57"")"),0)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IFERROR(__xludf.DUMMYFUNCTION("IMPORTRANGE(""https://docs.google.com/spreadsheets/d/1QqKyyYR6Q21VydFLVH3TRQUabQu_ym0Zz7PgGX0-kHA/edit?usp=sharing"",""แผน!X57"")"),10)</f>
        <v>10</v>
      </c>
      <c r="J159" s="181">
        <v>10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21050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21050</v>
      </c>
      <c r="N167" s="45">
        <f t="shared" ca="1" si="87"/>
        <v>21050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21050</v>
      </c>
      <c r="N168" s="38">
        <f t="shared" ca="1" si="88"/>
        <v>21050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IFERROR(__xludf.DUMMYFUNCTION("IMPORTRANGE(""https://docs.google.com/spreadsheets/d/1MeEWN-I1oV_STSDYn1IFDPWt_1FKiwhDph83XaGc0o0/edit?usp=sharing"",""งบพรบ!CE57"")"),21050)</f>
        <v>21050</v>
      </c>
      <c r="M170" s="45">
        <f ca="1">IFERROR(__xludf.DUMMYFUNCTION("IMPORTRANGE(""https://docs.google.com/spreadsheets/d/1MeEWN-I1oV_STSDYn1IFDPWt_1FKiwhDph83XaGc0o0/edit?usp=sharing"",""งบพรบ!CJ57"")"),21050)</f>
        <v>21050</v>
      </c>
      <c r="N170" s="45">
        <f ca="1">IFERROR(__xludf.DUMMYFUNCTION("IMPORTRANGE(""https://docs.google.com/spreadsheets/d/1MeEWN-I1oV_STSDYn1IFDPWt_1FKiwhDph83XaGc0o0/edit?usp=sharing"",""งบพรบ!CL57"")"),21050)</f>
        <v>21050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IFERROR(__xludf.DUMMYFUNCTION("IMPORTRANGE(""https://docs.google.com/spreadsheets/d/1MeEWN-I1oV_STSDYn1IFDPWt_1FKiwhDph83XaGc0o0/edit?usp=sharing"",""งบพรบ!CH57"")"),0)</f>
        <v>0</v>
      </c>
      <c r="M173" s="45">
        <f ca="1">IFERROR(__xludf.DUMMYFUNCTION("IMPORTRANGE(""https://docs.google.com/spreadsheets/d/1MeEWN-I1oV_STSDYn1IFDPWt_1FKiwhDph83XaGc0o0/edit?usp=sharing"",""งบพรบ!CK57"")"),0)</f>
        <v>0</v>
      </c>
      <c r="N173" s="45">
        <f ca="1">IFERROR(__xludf.DUMMYFUNCTION("IMPORTRANGE(""https://docs.google.com/spreadsheets/d/1MeEWN-I1oV_STSDYn1IFDPWt_1FKiwhDph83XaGc0o0/edit?usp=sharing"",""งบพรบ!CM57"")"),0)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IFERROR(__xludf.DUMMYFUNCTION("IMPORTRANGE(""https://docs.google.com/spreadsheets/d/1QqKyyYR6Q21VydFLVH3TRQUabQu_ym0Zz7PgGX0-kHA/edit?usp=sharing"",""แผน!Y57"")"),10)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36100</v>
      </c>
      <c r="M181" s="154">
        <f t="shared" ca="1" si="92"/>
        <v>42820</v>
      </c>
      <c r="N181" s="154">
        <f t="shared" ca="1" si="92"/>
        <v>35330</v>
      </c>
      <c r="O181" s="154">
        <f t="shared" ref="O181:O189" ca="1" si="93">IF(L181&gt;0,N181*100/L181,0)</f>
        <v>97.86703601108033</v>
      </c>
      <c r="P181" s="154">
        <f t="shared" ref="P181:P189" ca="1" si="94">IF(M181&gt;0,N181*100/M181,0)</f>
        <v>82.508173750583836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36100</v>
      </c>
      <c r="M183" s="45">
        <f t="shared" ca="1" si="95"/>
        <v>42820</v>
      </c>
      <c r="N183" s="45">
        <f t="shared" ca="1" si="95"/>
        <v>35330</v>
      </c>
      <c r="O183" s="45">
        <f t="shared" ca="1" si="93"/>
        <v>97.86703601108033</v>
      </c>
      <c r="P183" s="45">
        <f t="shared" ca="1" si="94"/>
        <v>82.508173750583836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36100</v>
      </c>
      <c r="M184" s="38">
        <f t="shared" ca="1" si="96"/>
        <v>42820</v>
      </c>
      <c r="N184" s="38">
        <f t="shared" ca="1" si="96"/>
        <v>35330</v>
      </c>
      <c r="O184" s="38">
        <f t="shared" ca="1" si="93"/>
        <v>97.86703601108033</v>
      </c>
      <c r="P184" s="38">
        <f t="shared" ca="1" si="94"/>
        <v>82.508173750583836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IFERROR(__xludf.DUMMYFUNCTION("IMPORTRANGE(""https://docs.google.com/spreadsheets/d/1MeEWN-I1oV_STSDYn1IFDPWt_1FKiwhDph83XaGc0o0/edit?usp=sharing"",""งบพรบ!CO57"")"),36100)</f>
        <v>36100</v>
      </c>
      <c r="M186" s="45">
        <f ca="1">IFERROR(__xludf.DUMMYFUNCTION("IMPORTRANGE(""https://docs.google.com/spreadsheets/d/1MeEWN-I1oV_STSDYn1IFDPWt_1FKiwhDph83XaGc0o0/edit?usp=sharing"",""งบพรบ!CT57"")"),42820)</f>
        <v>42820</v>
      </c>
      <c r="N186" s="45">
        <f ca="1">IFERROR(__xludf.DUMMYFUNCTION("IMPORTRANGE(""https://docs.google.com/spreadsheets/d/1MeEWN-I1oV_STSDYn1IFDPWt_1FKiwhDph83XaGc0o0/edit?usp=sharing"",""งบพรบ!CV57"")"),35330)</f>
        <v>35330</v>
      </c>
      <c r="O186" s="45">
        <f t="shared" ca="1" si="93"/>
        <v>97.86703601108033</v>
      </c>
      <c r="P186" s="45">
        <f t="shared" ca="1" si="94"/>
        <v>82.508173750583836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IFERROR(__xludf.DUMMYFUNCTION("IMPORTRANGE(""https://docs.google.com/spreadsheets/d/1MeEWN-I1oV_STSDYn1IFDPWt_1FKiwhDph83XaGc0o0/edit?usp=sharing"",""งบพรบ!CR57"")"),0)</f>
        <v>0</v>
      </c>
      <c r="M189" s="45">
        <f ca="1">IFERROR(__xludf.DUMMYFUNCTION("IMPORTRANGE(""https://docs.google.com/spreadsheets/d/1MeEWN-I1oV_STSDYn1IFDPWt_1FKiwhDph83XaGc0o0/edit?usp=sharing"",""งบพรบ!CU57"")"),0)</f>
        <v>0</v>
      </c>
      <c r="N189" s="45">
        <f ca="1">IFERROR(__xludf.DUMMYFUNCTION("IMPORTRANGE(""https://docs.google.com/spreadsheets/d/1MeEWN-I1oV_STSDYn1IFDPWt_1FKiwhDph83XaGc0o0/edit?usp=sharing"",""งบพรบ!CW57"")"),0)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IFERROR(__xludf.DUMMYFUNCTION("IMPORTRANGE(""https://docs.google.com/spreadsheets/d/1QqKyyYR6Q21VydFLVH3TRQUabQu_ym0Zz7PgGX0-kHA/edit?usp=sharing"",""แผน!Z57"")"),6000)</f>
        <v>6000</v>
      </c>
      <c r="M191" s="154"/>
      <c r="N191" s="264">
        <v>1970</v>
      </c>
      <c r="O191" s="154">
        <f ca="1">IF(L191&gt;0,N191*100/L191,0)</f>
        <v>32.833333333333336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IFERROR(__xludf.DUMMYFUNCTION("IMPORTRANGE(""https://docs.google.com/spreadsheets/d/1QqKyyYR6Q21VydFLVH3TRQUabQu_ym0Zz7PgGX0-kHA/edit?usp=sharing"",""แผน!AC57"")"),4)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346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346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8660</v>
      </c>
      <c r="O198" s="154">
        <f ca="1">IF(L198&gt;0,N198*100/L198,0)</f>
        <v>66.615384615384613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IFERROR(__xludf.DUMMYFUNCTION("IMPORTRANGE(""https://docs.google.com/spreadsheets/d/1QqKyyYR6Q21VydFLVH3TRQUabQu_ym0Zz7PgGX0-kHA/edit?usp=sharing"",""แผน!AE57"")"),1000)</f>
        <v>1000</v>
      </c>
      <c r="M199" s="38"/>
      <c r="N199" s="271">
        <v>660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IFERROR(__xludf.DUMMYFUNCTION("IMPORTRANGE(""https://docs.google.com/spreadsheets/d/1QqKyyYR6Q21VydFLVH3TRQUabQu_ym0Zz7PgGX0-kHA/edit?usp=sharing"",""แผน!AF57"")"),8000)</f>
        <v>8000</v>
      </c>
      <c r="M200" s="38"/>
      <c r="N200" s="271">
        <v>8000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IFERROR(__xludf.DUMMYFUNCTION("IMPORTRANGE(""https://docs.google.com/spreadsheets/d/1QqKyyYR6Q21VydFLVH3TRQUabQu_ym0Zz7PgGX0-kHA/edit?usp=sharing"",""แผน!AG57"")"),4000)</f>
        <v>4000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IFERROR(__xludf.DUMMYFUNCTION("IMPORTRANGE(""https://docs.google.com/spreadsheets/d/1QqKyyYR6Q21VydFLVH3TRQUabQu_ym0Zz7PgGX0-kHA/edit?usp=sharing"",""แผน!AH57"")"),0)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IFERROR(__xludf.DUMMYFUNCTION("IMPORTRANGE(""https://docs.google.com/spreadsheets/d/1QqKyyYR6Q21VydFLVH3TRQUabQu_ym0Zz7PgGX0-kHA/edit?usp=sharing"",""แผน!AI57"")"),1)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IFERROR(__xludf.DUMMYFUNCTION("IMPORTRANGE(""https://docs.google.com/spreadsheets/d/1QqKyyYR6Q21VydFLVH3TRQUabQu_ym0Zz7PgGX0-kHA/edit?usp=sharing"",""แผน!AK57"")"),0)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IFERROR(__xludf.DUMMYFUNCTION("IMPORTRANGE(""https://docs.google.com/spreadsheets/d/1QqKyyYR6Q21VydFLVH3TRQUabQu_ym0Zz7PgGX0-kHA/edit?usp=sharing"",""แผน!AL57"")"),0)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IFERROR(__xludf.DUMMYFUNCTION("IMPORTRANGE(""https://docs.google.com/spreadsheets/d/1QqKyyYR6Q21VydFLVH3TRQUabQu_ym0Zz7PgGX0-kHA/edit?usp=sharing"",""แผน!AM57"")"),0)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IFERROR(__xludf.DUMMYFUNCTION("IMPORTRANGE(""https://docs.google.com/spreadsheets/d/1QqKyyYR6Q21VydFLVH3TRQUabQu_ym0Zz7PgGX0-kHA/edit?usp=sharing"",""แผน!AN57"")"),0)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IFERROR(__xludf.DUMMYFUNCTION("IMPORTRANGE(""https://docs.google.com/spreadsheets/d/1QqKyyYR6Q21VydFLVH3TRQUabQu_ym0Zz7PgGX0-kHA/edit?usp=sharing"",""แผน!AN57"")"),0)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12800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17100</v>
      </c>
      <c r="M217" s="154"/>
      <c r="N217" s="154">
        <f>N218+N219+N220</f>
        <v>12000</v>
      </c>
      <c r="O217" s="154">
        <f ca="1">IF(L217&gt;0,N217*100/L217,0)</f>
        <v>70.175438596491233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IFERROR(__xludf.DUMMYFUNCTION("IMPORTRANGE(""https://docs.google.com/spreadsheets/d/1QqKyyYR6Q21VydFLVH3TRQUabQu_ym0Zz7PgGX0-kHA/edit?usp=sharing"",""แผน!AP57"")"),3000)</f>
        <v>3000</v>
      </c>
      <c r="M218" s="38"/>
      <c r="N218" s="271">
        <v>2000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IFERROR(__xludf.DUMMYFUNCTION("IMPORTRANGE(""https://docs.google.com/spreadsheets/d/1QqKyyYR6Q21VydFLVH3TRQUabQu_ym0Zz7PgGX0-kHA/edit?usp=sharing"",""แผน!AQ57"")"),4100)</f>
        <v>4100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IFERROR(__xludf.DUMMYFUNCTION("IMPORTRANGE(""https://docs.google.com/spreadsheets/d/1QqKyyYR6Q21VydFLVH3TRQUabQu_ym0Zz7PgGX0-kHA/edit?usp=sharing"",""แผน!AR57"")"),10000)</f>
        <v>10000</v>
      </c>
      <c r="M220" s="38"/>
      <c r="N220" s="271">
        <v>10000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IFERROR(__xludf.DUMMYFUNCTION("IMPORTRANGE(""https://docs.google.com/spreadsheets/d/1QqKyyYR6Q21VydFLVH3TRQUabQu_ym0Zz7PgGX0-kHA/edit?usp=sharing"",""แผน!AT57"")"),12800)</f>
        <v>12800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IFERROR(__xludf.DUMMYFUNCTION("IMPORTRANGE(""https://docs.google.com/spreadsheets/d/1QqKyyYR6Q21VydFLVH3TRQUabQu_ym0Zz7PgGX0-kHA/edit?usp=sharing"",""แผน!AT57"")"),12800)</f>
        <v>12800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IFERROR(__xludf.DUMMYFUNCTION("IMPORTRANGE(""https://docs.google.com/spreadsheets/d/1QqKyyYR6Q21VydFLVH3TRQUabQu_ym0Zz7PgGX0-kHA/edit?usp=sharing"",""แผน!AS57"")"),10)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IFERROR(__xludf.DUMMYFUNCTION("IMPORTRANGE(""https://docs.google.com/spreadsheets/d/1QqKyyYR6Q21VydFLVH3TRQUabQu_ym0Zz7PgGX0-kHA/edit?usp=sharing"",""แผน!AV57"")"),0)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IFERROR(__xludf.DUMMYFUNCTION("IMPORTRANGE(""https://docs.google.com/spreadsheets/d/1QqKyyYR6Q21VydFLVH3TRQUabQu_ym0Zz7PgGX0-kHA/edit?usp=sharing"",""แผน!AW57"")"),0)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IFERROR(__xludf.DUMMYFUNCTION("IMPORTRANGE(""https://docs.google.com/spreadsheets/d/1QqKyyYR6Q21VydFLVH3TRQUabQu_ym0Zz7PgGX0-kHA/edit?usp=sharing"",""แผน!AX57"")"),0)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IFERROR(__xludf.DUMMYFUNCTION("IMPORTRANGE(""https://docs.google.com/spreadsheets/d/1QqKyyYR6Q21VydFLVH3TRQUabQu_ym0Zz7PgGX0-kHA/edit?usp=sharing"",""แผน!AY57"")"),0)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IFERROR(__xludf.DUMMYFUNCTION("IMPORTRANGE(""https://docs.google.com/spreadsheets/d/1QqKyyYR6Q21VydFLVH3TRQUabQu_ym0Zz7PgGX0-kHA/edit?usp=sharing"",""แผน!AZ57"")"),0)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IFERROR(__xludf.DUMMYFUNCTION("IMPORTRANGE(""https://docs.google.com/spreadsheets/d/1QqKyyYR6Q21VydFLVH3TRQUabQu_ym0Zz7PgGX0-kHA/edit?usp=sharing"",""แผน!BA57"")"),0)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IFERROR(__xludf.DUMMYFUNCTION("IMPORTRANGE(""https://docs.google.com/spreadsheets/d/1QqKyyYR6Q21VydFLVH3TRQUabQu_ym0Zz7PgGX0-kHA/edit?usp=sharing"",""แผน!BB57"")"),0)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IFERROR(__xludf.DUMMYFUNCTION("IMPORTRANGE(""https://docs.google.com/spreadsheets/d/1QqKyyYR6Q21VydFLVH3TRQUabQu_ym0Zz7PgGX0-kHA/edit?usp=sharing"",""แผน!BC57"")"),0)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25650</v>
      </c>
      <c r="O261" s="154">
        <f t="shared" ref="O261:O269" ca="1" si="117">IF(L261&gt;0,N261*100/L261,0)</f>
        <v>95.353159851301115</v>
      </c>
      <c r="P261" s="154">
        <f t="shared" ref="P261:P269" ca="1" si="118">IF(M261&gt;0,N261*100/M261,0)</f>
        <v>95.353159851301115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25650</v>
      </c>
      <c r="O263" s="45">
        <f t="shared" ca="1" si="117"/>
        <v>95.353159851301115</v>
      </c>
      <c r="P263" s="45">
        <f t="shared" ca="1" si="118"/>
        <v>95.353159851301115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25650</v>
      </c>
      <c r="O264" s="38">
        <f t="shared" ca="1" si="117"/>
        <v>95.353159851301115</v>
      </c>
      <c r="P264" s="38">
        <f t="shared" ca="1" si="118"/>
        <v>95.353159851301115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IFERROR(__xludf.DUMMYFUNCTION("IMPORTRANGE(""https://docs.google.com/spreadsheets/d/1MeEWN-I1oV_STSDYn1IFDPWt_1FKiwhDph83XaGc0o0/edit?usp=sharing"",""งบพรบ!CY57"")"),26900)</f>
        <v>26900</v>
      </c>
      <c r="M266" s="45">
        <f ca="1">IFERROR(__xludf.DUMMYFUNCTION("IMPORTRANGE(""https://docs.google.com/spreadsheets/d/1MeEWN-I1oV_STSDYn1IFDPWt_1FKiwhDph83XaGc0o0/edit?usp=sharing"",""งบพรบ!DD57"")"),26900)</f>
        <v>26900</v>
      </c>
      <c r="N266" s="45">
        <f ca="1">IFERROR(__xludf.DUMMYFUNCTION("IMPORTRANGE(""https://docs.google.com/spreadsheets/d/1MeEWN-I1oV_STSDYn1IFDPWt_1FKiwhDph83XaGc0o0/edit?usp=sharing"",""งบพรบ!DF57"")"),25650)</f>
        <v>25650</v>
      </c>
      <c r="O266" s="45">
        <f t="shared" ca="1" si="117"/>
        <v>95.353159851301115</v>
      </c>
      <c r="P266" s="45">
        <f t="shared" ca="1" si="118"/>
        <v>95.353159851301115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IFERROR(__xludf.DUMMYFUNCTION("IMPORTRANGE(""https://docs.google.com/spreadsheets/d/1MeEWN-I1oV_STSDYn1IFDPWt_1FKiwhDph83XaGc0o0/edit?usp=sharing"",""งบพรบ!DB57"")"),0)</f>
        <v>0</v>
      </c>
      <c r="M269" s="45">
        <f ca="1">IFERROR(__xludf.DUMMYFUNCTION("IMPORTRANGE(""https://docs.google.com/spreadsheets/d/1MeEWN-I1oV_STSDYn1IFDPWt_1FKiwhDph83XaGc0o0/edit?usp=sharing"",""งบพรบ!DE57"")"),0)</f>
        <v>0</v>
      </c>
      <c r="N269" s="45">
        <f ca="1">IFERROR(__xludf.DUMMYFUNCTION("IMPORTRANGE(""https://docs.google.com/spreadsheets/d/1MeEWN-I1oV_STSDYn1IFDPWt_1FKiwhDph83XaGc0o0/edit?usp=sharing"",""งบพรบ!DG57"")"),0)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IFERROR(__xludf.DUMMYFUNCTION("IMPORTRANGE(""https://docs.google.com/spreadsheets/d/1QqKyyYR6Q21VydFLVH3TRQUabQu_ym0Zz7PgGX0-kHA/edit?usp=sharing"",""แผน!EA57"")"),22)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IFERROR(__xludf.DUMMYFUNCTION("IMPORTRANGE(""https://docs.google.com/spreadsheets/d/1MeEWN-I1oV_STSDYn1IFDPWt_1FKiwhDph83XaGc0o0/edit?usp=sharing"",""งบพรบ!DI57"")"),0)</f>
        <v>0</v>
      </c>
      <c r="M282" s="45">
        <f ca="1">IFERROR(__xludf.DUMMYFUNCTION("IMPORTRANGE(""https://docs.google.com/spreadsheets/d/1MeEWN-I1oV_STSDYn1IFDPWt_1FKiwhDph83XaGc0o0/edit?usp=sharing"",""งบพรบ!DN57"")"),0)</f>
        <v>0</v>
      </c>
      <c r="N282" s="45">
        <f ca="1">IFERROR(__xludf.DUMMYFUNCTION("IMPORTRANGE(""https://docs.google.com/spreadsheets/d/1MeEWN-I1oV_STSDYn1IFDPWt_1FKiwhDph83XaGc0o0/edit?usp=sharing"",""งบพรบ!DP57"")"),0)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IFERROR(__xludf.DUMMYFUNCTION("IMPORTRANGE(""https://docs.google.com/spreadsheets/d/1MeEWN-I1oV_STSDYn1IFDPWt_1FKiwhDph83XaGc0o0/edit?usp=sharing"",""งบพรบ!DL57"")"),0)</f>
        <v>0</v>
      </c>
      <c r="M285" s="45">
        <f ca="1">IFERROR(__xludf.DUMMYFUNCTION("IMPORTRANGE(""https://docs.google.com/spreadsheets/d/1MeEWN-I1oV_STSDYn1IFDPWt_1FKiwhDph83XaGc0o0/edit?usp=sharing"",""งบพรบ!DO57"")"),0)</f>
        <v>0</v>
      </c>
      <c r="N285" s="45">
        <f ca="1">IFERROR(__xludf.DUMMYFUNCTION("IMPORTRANGE(""https://docs.google.com/spreadsheets/d/1MeEWN-I1oV_STSDYn1IFDPWt_1FKiwhDph83XaGc0o0/edit?usp=sharing"",""งบพรบ!DQ57"")"),0)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IFERROR(__xludf.DUMMYFUNCTION("IMPORTRANGE(""https://docs.google.com/spreadsheets/d/1QqKyyYR6Q21VydFLVH3TRQUabQu_ym0Zz7PgGX0-kHA/edit?usp=sharing"",""แผน!EC57"")"),0)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IFERROR(__xludf.DUMMYFUNCTION("IMPORTRANGE(""https://docs.google.com/spreadsheets/d/1QqKyyYR6Q21VydFLVH3TRQUabQu_ym0Zz7PgGX0-kHA/edit?usp=sharing"",""แผน!EB57"")"),0)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IFERROR(__xludf.DUMMYFUNCTION("IMPORTRANGE(""https://docs.google.com/spreadsheets/d/1QqKyyYR6Q21VydFLVH3TRQUabQu_ym0Zz7PgGX0-kHA/edit?usp=sharing"",""แผน!EB57"")"),0)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IFERROR(__xludf.DUMMYFUNCTION("IMPORTRANGE(""https://docs.google.com/spreadsheets/d/1QqKyyYR6Q21VydFLVH3TRQUabQu_ym0Zz7PgGX0-kHA/edit?usp=sharing"",""แผน!EB57"")"),0)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IFERROR(__xludf.DUMMYFUNCTION("IMPORTRANGE(""https://docs.google.com/spreadsheets/d/1QqKyyYR6Q21VydFLVH3TRQUabQu_ym0Zz7PgGX0-kHA/edit?usp=sharing"",""แผน!EB57"")"),0)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IFERROR(__xludf.DUMMYFUNCTION("IMPORTRANGE(""https://docs.google.com/spreadsheets/d/1QqKyyYR6Q21VydFLVH3TRQUabQu_ym0Zz7PgGX0-kHA/edit?usp=sharing"",""แผน!EB57"")"),0)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90400</v>
      </c>
      <c r="N298" s="154">
        <f t="shared" ca="1" si="135"/>
        <v>80280</v>
      </c>
      <c r="O298" s="154">
        <f t="shared" ref="O298:O306" ca="1" si="136">IF(L298&gt;0,N298*100/L298,0)</f>
        <v>97.427184466019412</v>
      </c>
      <c r="P298" s="154">
        <f t="shared" ref="P298:P306" ca="1" si="137">IF(M298&gt;0,N298*100/M298,0)</f>
        <v>88.805309734513273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90400</v>
      </c>
      <c r="N300" s="45">
        <f t="shared" ca="1" si="138"/>
        <v>80280</v>
      </c>
      <c r="O300" s="45">
        <f t="shared" ca="1" si="136"/>
        <v>97.427184466019412</v>
      </c>
      <c r="P300" s="45">
        <f t="shared" ca="1" si="137"/>
        <v>88.805309734513273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90400</v>
      </c>
      <c r="N301" s="38">
        <f t="shared" ca="1" si="139"/>
        <v>80280</v>
      </c>
      <c r="O301" s="38">
        <f t="shared" ca="1" si="136"/>
        <v>97.427184466019412</v>
      </c>
      <c r="P301" s="38">
        <f t="shared" ca="1" si="137"/>
        <v>88.805309734513273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IFERROR(__xludf.DUMMYFUNCTION("IMPORTRANGE(""https://docs.google.com/spreadsheets/d/1MeEWN-I1oV_STSDYn1IFDPWt_1FKiwhDph83XaGc0o0/edit?usp=sharing"",""งบพรบ!DS57"")"),82400)</f>
        <v>82400</v>
      </c>
      <c r="M303" s="45">
        <f ca="1">IFERROR(__xludf.DUMMYFUNCTION("IMPORTRANGE(""https://docs.google.com/spreadsheets/d/1MeEWN-I1oV_STSDYn1IFDPWt_1FKiwhDph83XaGc0o0/edit?usp=sharing"",""งบพรบ!DX57"")"),90400)</f>
        <v>90400</v>
      </c>
      <c r="N303" s="45">
        <f ca="1">IFERROR(__xludf.DUMMYFUNCTION("IMPORTRANGE(""https://docs.google.com/spreadsheets/d/1MeEWN-I1oV_STSDYn1IFDPWt_1FKiwhDph83XaGc0o0/edit?usp=sharing"",""งบพรบ!DZ57"")"),80280)</f>
        <v>80280</v>
      </c>
      <c r="O303" s="45">
        <f t="shared" ca="1" si="136"/>
        <v>97.427184466019412</v>
      </c>
      <c r="P303" s="45">
        <f t="shared" ca="1" si="137"/>
        <v>88.805309734513273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IFERROR(__xludf.DUMMYFUNCTION("IMPORTRANGE(""https://docs.google.com/spreadsheets/d/1MeEWN-I1oV_STSDYn1IFDPWt_1FKiwhDph83XaGc0o0/edit?usp=sharing"",""งบพรบ!DV57"")"),0)</f>
        <v>0</v>
      </c>
      <c r="M306" s="45">
        <f ca="1">IFERROR(__xludf.DUMMYFUNCTION("IMPORTRANGE(""https://docs.google.com/spreadsheets/d/1MeEWN-I1oV_STSDYn1IFDPWt_1FKiwhDph83XaGc0o0/edit?usp=sharing"",""งบพรบ!DY57"")"),0)</f>
        <v>0</v>
      </c>
      <c r="N306" s="45">
        <f ca="1">IFERROR(__xludf.DUMMYFUNCTION("IMPORTRANGE(""https://docs.google.com/spreadsheets/d/1MeEWN-I1oV_STSDYn1IFDPWt_1FKiwhDph83XaGc0o0/edit?usp=sharing"",""งบพรบ!EA57"")"),0)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IFERROR(__xludf.DUMMYFUNCTION("IMPORTRANGE(""https://docs.google.com/spreadsheets/d/1QqKyyYR6Q21VydFLVH3TRQUabQu_ym0Zz7PgGX0-kHA/edit?usp=sharing"",""แผน!ED57"")"),20)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IFERROR(__xludf.DUMMYFUNCTION("IMPORTRANGE(""https://docs.google.com/spreadsheets/d/1QqKyyYR6Q21VydFLVH3TRQUabQu_ym0Zz7PgGX0-kHA/edit?usp=sharing"",""แผน!ED57"")"),20)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IFERROR(__xludf.DUMMYFUNCTION("IMPORTRANGE(""https://docs.google.com/spreadsheets/d/1QqKyyYR6Q21VydFLVH3TRQUabQu_ym0Zz7PgGX0-kHA/edit?usp=sharing"",""แผน!ED57"")"),20)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IFERROR(__xludf.DUMMYFUNCTION("IMPORTRANGE(""https://docs.google.com/spreadsheets/d/1QqKyyYR6Q21VydFLVH3TRQUabQu_ym0Zz7PgGX0-kHA/edit?usp=sharing"",""แผน!EE57"")"),4)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IFERROR(__xludf.DUMMYFUNCTION("IMPORTRANGE(""https://docs.google.com/spreadsheets/d/1MeEWN-I1oV_STSDYn1IFDPWt_1FKiwhDph83XaGc0o0/edit?usp=sharing"",""งบพรบ!EC57"")"),0)</f>
        <v>0</v>
      </c>
      <c r="M320" s="45">
        <f ca="1">IFERROR(__xludf.DUMMYFUNCTION("IMPORTRANGE(""https://docs.google.com/spreadsheets/d/1MeEWN-I1oV_STSDYn1IFDPWt_1FKiwhDph83XaGc0o0/edit?usp=sharing"",""งบพรบ!EH57"")"),0)</f>
        <v>0</v>
      </c>
      <c r="N320" s="45">
        <f ca="1">IFERROR(__xludf.DUMMYFUNCTION("IMPORTRANGE(""https://docs.google.com/spreadsheets/d/1MeEWN-I1oV_STSDYn1IFDPWt_1FKiwhDph83XaGc0o0/edit?usp=sharing"",""งบพรบ!EJ57"")"),0)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IFERROR(__xludf.DUMMYFUNCTION("IMPORTRANGE(""https://docs.google.com/spreadsheets/d/1MeEWN-I1oV_STSDYn1IFDPWt_1FKiwhDph83XaGc0o0/edit?usp=sharing"",""งบพรบ!EF57"")"),0)</f>
        <v>0</v>
      </c>
      <c r="M323" s="45">
        <f ca="1">IFERROR(__xludf.DUMMYFUNCTION("IMPORTRANGE(""https://docs.google.com/spreadsheets/d/1MeEWN-I1oV_STSDYn1IFDPWt_1FKiwhDph83XaGc0o0/edit?usp=sharing"",""งบพรบ!EI57"")"),0)</f>
        <v>0</v>
      </c>
      <c r="N323" s="45">
        <f ca="1">IFERROR(__xludf.DUMMYFUNCTION("IMPORTRANGE(""https://docs.google.com/spreadsheets/d/1MeEWN-I1oV_STSDYn1IFDPWt_1FKiwhDph83XaGc0o0/edit?usp=sharing"",""งบพรบ!EK57"")"),0)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IFERROR(__xludf.DUMMYFUNCTION("IMPORTRANGE(""https://docs.google.com/spreadsheets/d/1QqKyyYR6Q21VydFLVH3TRQUabQu_ym0Zz7PgGX0-kHA/edit?usp=sharing"",""แผน!EG57"")"),800)</f>
        <v>800</v>
      </c>
      <c r="J327" s="421">
        <f ca="1">J338+J341+J342+J343</f>
        <v>925</v>
      </c>
      <c r="K327" s="422">
        <f ca="1">IF(I327&gt;0,J327*100/I327,0)</f>
        <v>115.625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163000</v>
      </c>
      <c r="M328" s="154">
        <f t="shared" ca="1" si="149"/>
        <v>165500</v>
      </c>
      <c r="N328" s="154">
        <f t="shared" ca="1" si="149"/>
        <v>132540</v>
      </c>
      <c r="O328" s="154">
        <f t="shared" ref="O328:O336" ca="1" si="150">IF(L328&gt;0,N328*100/L328,0)</f>
        <v>81.312883435582819</v>
      </c>
      <c r="P328" s="154">
        <f t="shared" ref="P328:P336" ca="1" si="151">IF(M328&gt;0,N328*100/M328,0)</f>
        <v>80.084592145015108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163000</v>
      </c>
      <c r="M330" s="45">
        <f t="shared" ca="1" si="152"/>
        <v>165500</v>
      </c>
      <c r="N330" s="45">
        <f t="shared" ca="1" si="152"/>
        <v>132540</v>
      </c>
      <c r="O330" s="45">
        <f t="shared" ca="1" si="150"/>
        <v>81.312883435582819</v>
      </c>
      <c r="P330" s="45">
        <f t="shared" ca="1" si="151"/>
        <v>80.084592145015108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163000</v>
      </c>
      <c r="M331" s="38">
        <f t="shared" ca="1" si="153"/>
        <v>165500</v>
      </c>
      <c r="N331" s="38">
        <f t="shared" ca="1" si="153"/>
        <v>132540</v>
      </c>
      <c r="O331" s="38">
        <f t="shared" ca="1" si="150"/>
        <v>81.312883435582819</v>
      </c>
      <c r="P331" s="38">
        <f t="shared" ca="1" si="151"/>
        <v>80.084592145015108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IFERROR(__xludf.DUMMYFUNCTION("IMPORTRANGE(""https://docs.google.com/spreadsheets/d/1MeEWN-I1oV_STSDYn1IFDPWt_1FKiwhDph83XaGc0o0/edit?usp=sharing"",""งบพรบ!EM57"")"),163000)</f>
        <v>163000</v>
      </c>
      <c r="M333" s="45">
        <f ca="1">IFERROR(__xludf.DUMMYFUNCTION("IMPORTRANGE(""https://docs.google.com/spreadsheets/d/1MeEWN-I1oV_STSDYn1IFDPWt_1FKiwhDph83XaGc0o0/edit?usp=sharing"",""งบพรบ!ER57"")"),165500)</f>
        <v>165500</v>
      </c>
      <c r="N333" s="45">
        <f ca="1">IFERROR(__xludf.DUMMYFUNCTION("IMPORTRANGE(""https://docs.google.com/spreadsheets/d/1MeEWN-I1oV_STSDYn1IFDPWt_1FKiwhDph83XaGc0o0/edit?usp=sharing"",""งบพรบ!ET57"")"),132540)</f>
        <v>132540</v>
      </c>
      <c r="O333" s="45">
        <f t="shared" ca="1" si="150"/>
        <v>81.312883435582819</v>
      </c>
      <c r="P333" s="45">
        <f t="shared" ca="1" si="151"/>
        <v>80.084592145015108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IFERROR(__xludf.DUMMYFUNCTION("IMPORTRANGE(""https://docs.google.com/spreadsheets/d/1MeEWN-I1oV_STSDYn1IFDPWt_1FKiwhDph83XaGc0o0/edit?usp=sharing"",""งบพรบ!EP57"")"),0)</f>
        <v>0</v>
      </c>
      <c r="M336" s="45">
        <f ca="1">IFERROR(__xludf.DUMMYFUNCTION("IMPORTRANGE(""https://docs.google.com/spreadsheets/d/1MeEWN-I1oV_STSDYn1IFDPWt_1FKiwhDph83XaGc0o0/edit?usp=sharing"",""งบพรบ!ES57"")"),0)</f>
        <v>0</v>
      </c>
      <c r="N336" s="45">
        <f ca="1">IFERROR(__xludf.DUMMYFUNCTION("IMPORTRANGE(""https://docs.google.com/spreadsheets/d/1MeEWN-I1oV_STSDYn1IFDPWt_1FKiwhDph83XaGc0o0/edit?usp=sharing"",""งบพรบ!EU57"")"),0)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IFERROR(__xludf.DUMMYFUNCTION("IMPORTRANGE(""https://docs.google.com/spreadsheets/d/1QqKyyYR6Q21VydFLVH3TRQUabQu_ym0Zz7PgGX0-kHA/edit?usp=sharing"",""แผน!EG57"")"),800)</f>
        <v>800</v>
      </c>
      <c r="J338" s="37">
        <f ca="1">IFERROR(__xludf.DUMMYFUNCTION("IMPORTRANGE(""https://docs.google.com/spreadsheets/d/1kVcqe37tkHyjCSG3S0O1AXqVkqjo8mSIZil3BcpIysc/edit?usp=sharing"",""ศูนย์!D57"")"),879)</f>
        <v>879</v>
      </c>
      <c r="K338" s="38">
        <f ca="1">IF(I338&gt;0,J338*100/I338,0)</f>
        <v>109.875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IFERROR(__xludf.DUMMYFUNCTION("IMPORTRANGE(""https://docs.google.com/spreadsheets/d/1QqKyyYR6Q21VydFLVH3TRQUabQu_ym0Zz7PgGX0-kHA/edit?usp=sharing"",""แผน!EH57"")"),5)</f>
        <v>5</v>
      </c>
      <c r="J340" s="37">
        <f ca="1">IFERROR(__xludf.DUMMYFUNCTION("IMPORTRANGE(""https://docs.google.com/spreadsheets/d/1kVcqe37tkHyjCSG3S0O1AXqVkqjo8mSIZil3BcpIysc/edit?usp=sharing"",""ศูนย์!E57"")"),2)</f>
        <v>2</v>
      </c>
      <c r="K340" s="38">
        <f ca="1">IF(I340&gt;0,J340*100/I340,0)</f>
        <v>40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IFERROR(__xludf.DUMMYFUNCTION("IMPORTRANGE(""https://docs.google.com/spreadsheets/d/1kVcqe37tkHyjCSG3S0O1AXqVkqjo8mSIZil3BcpIysc/edit?usp=sharing"",""ศูนย์!F57"")"),46)</f>
        <v>46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IFERROR(__xludf.DUMMYFUNCTION("IMPORTRANGE(""https://docs.google.com/spreadsheets/d/1kVcqe37tkHyjCSG3S0O1AXqVkqjo8mSIZil3BcpIysc/edit?usp=sharing"",""ศูนย์!G57"")"),0)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IFERROR(__xludf.DUMMYFUNCTION("IMPORTRANGE(""https://docs.google.com/spreadsheets/d/1kVcqe37tkHyjCSG3S0O1AXqVkqjo8mSIZil3BcpIysc/edit?usp=sharing"",""ศูนย์!H57"")"),0)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400550</v>
      </c>
      <c r="M345" s="154">
        <f t="shared" ca="1" si="155"/>
        <v>430685</v>
      </c>
      <c r="N345" s="154">
        <f t="shared" ca="1" si="155"/>
        <v>334390</v>
      </c>
      <c r="O345" s="154">
        <f t="shared" ref="O345:O353" ca="1" si="156">IF(L345&gt;0,N345*100/L345,0)</f>
        <v>83.482711272000998</v>
      </c>
      <c r="P345" s="154">
        <f t="shared" ref="P345:P353" ca="1" si="157">IF(M345&gt;0,N345*100/M345,0)</f>
        <v>77.641431672800309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400550</v>
      </c>
      <c r="M347" s="45">
        <f t="shared" ca="1" si="158"/>
        <v>430685</v>
      </c>
      <c r="N347" s="45">
        <f t="shared" ca="1" si="158"/>
        <v>334390</v>
      </c>
      <c r="O347" s="45">
        <f t="shared" ca="1" si="156"/>
        <v>83.482711272000998</v>
      </c>
      <c r="P347" s="45">
        <f t="shared" ca="1" si="157"/>
        <v>77.641431672800309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326450</v>
      </c>
      <c r="M348" s="38">
        <f t="shared" ca="1" si="159"/>
        <v>356585</v>
      </c>
      <c r="N348" s="38">
        <f t="shared" ca="1" si="159"/>
        <v>260290</v>
      </c>
      <c r="O348" s="38">
        <f t="shared" ca="1" si="156"/>
        <v>79.733496706999546</v>
      </c>
      <c r="P348" s="38">
        <f t="shared" ca="1" si="157"/>
        <v>72.995218531345969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IFERROR(__xludf.DUMMYFUNCTION("IMPORTRANGE(""https://docs.google.com/spreadsheets/d/1MeEWN-I1oV_STSDYn1IFDPWt_1FKiwhDph83XaGc0o0/edit?usp=sharing"",""งบพรบ!EW57"")"),326450)</f>
        <v>326450</v>
      </c>
      <c r="M350" s="45">
        <f ca="1">IFERROR(__xludf.DUMMYFUNCTION("IMPORTRANGE(""https://docs.google.com/spreadsheets/d/1MeEWN-I1oV_STSDYn1IFDPWt_1FKiwhDph83XaGc0o0/edit?usp=sharing"",""งบพรบ!FB57"")"),356585)</f>
        <v>356585</v>
      </c>
      <c r="N350" s="45">
        <f ca="1">IFERROR(__xludf.DUMMYFUNCTION("IMPORTRANGE(""https://docs.google.com/spreadsheets/d/1MeEWN-I1oV_STSDYn1IFDPWt_1FKiwhDph83XaGc0o0/edit?usp=sharing"",""งบพรบ!FD57"")"),260290)</f>
        <v>260290</v>
      </c>
      <c r="O350" s="45">
        <f t="shared" ca="1" si="156"/>
        <v>79.733496706999546</v>
      </c>
      <c r="P350" s="45">
        <f t="shared" ca="1" si="157"/>
        <v>72.995218531345969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74100</v>
      </c>
      <c r="M351" s="38">
        <f t="shared" ca="1" si="160"/>
        <v>74100</v>
      </c>
      <c r="N351" s="38">
        <f t="shared" ca="1" si="160"/>
        <v>74100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IFERROR(__xludf.DUMMYFUNCTION("IMPORTRANGE(""https://docs.google.com/spreadsheets/d/1MeEWN-I1oV_STSDYn1IFDPWt_1FKiwhDph83XaGc0o0/edit?usp=sharing"",""งบพรบ!EZ57"")"),74100)</f>
        <v>74100</v>
      </c>
      <c r="M353" s="45">
        <f ca="1">IFERROR(__xludf.DUMMYFUNCTION("IMPORTRANGE(""https://docs.google.com/spreadsheets/d/1MeEWN-I1oV_STSDYn1IFDPWt_1FKiwhDph83XaGc0o0/edit?usp=sharing"",""งบพรบ!FC57"")"),74100)</f>
        <v>74100</v>
      </c>
      <c r="N353" s="45">
        <f ca="1">IFERROR(__xludf.DUMMYFUNCTION("IMPORTRANGE(""https://docs.google.com/spreadsheets/d/1MeEWN-I1oV_STSDYn1IFDPWt_1FKiwhDph83XaGc0o0/edit?usp=sharing"",""งบพรบ!FE57"")"),74100)</f>
        <v>74100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IFERROR(__xludf.DUMMYFUNCTION("IMPORTRANGE(""https://docs.google.com/spreadsheets/d/1QqKyyYR6Q21VydFLVH3TRQUabQu_ym0Zz7PgGX0-kHA/edit?usp=sharing"",""แผน!EP57"")"),18)</f>
        <v>18</v>
      </c>
      <c r="J355" s="438">
        <f ca="1">J362</f>
        <v>37</v>
      </c>
      <c r="K355" s="439">
        <f ca="1">IF(I355&gt;0,J355*100/I355,0)</f>
        <v>205.55555555555554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IFERROR(__xludf.DUMMYFUNCTION("IMPORTRANGE(""https://docs.google.com/spreadsheets/d/1XWAQStnk-4SwqDmLtmXYiTMKHgktTP8We1SCoS47DrQ/edit?usp=sharing"",""จัดที่ดิน!W57"")"),30)</f>
        <v>30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IFERROR(__xludf.DUMMYFUNCTION("IMPORTRANGE(""https://docs.google.com/spreadsheets/d/1QqKyyYR6Q21VydFLVH3TRQUabQu_ym0Zz7PgGX0-kHA/edit?usp=sharing"",""แผน!EO57"")"),163)</f>
        <v>163</v>
      </c>
      <c r="J359" s="37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38">
        <f t="shared" ca="1" si="161"/>
        <v>179.23926380368039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IFERROR(__xludf.DUMMYFUNCTION("IMPORTRANGE(""https://docs.google.com/spreadsheets/d/1QqKyyYR6Q21VydFLVH3TRQUabQu_ym0Zz7PgGX0-kHA/edit?usp=sharing"",""แผน!EP57"")"),18)</f>
        <v>18</v>
      </c>
      <c r="J360" s="37">
        <f ca="1">IFERROR(__xludf.DUMMYFUNCTION("IMPORTRANGE(""https://docs.google.com/spreadsheets/d/1XWAQStnk-4SwqDmLtmXYiTMKHgktTP8We1SCoS47DrQ/edit?usp=sharing"",""จัดที่ดิน!Y57"")"),38)</f>
        <v>38</v>
      </c>
      <c r="K360" s="38">
        <f t="shared" ca="1" si="161"/>
        <v>211.11111111111111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IFERROR(__xludf.DUMMYFUNCTION("IMPORTRANGE(""https://docs.google.com/spreadsheets/d/1XWAQStnk-4SwqDmLtmXYiTMKHgktTP8We1SCoS47DrQ/edit?usp=sharing"",""จัดที่ดิน!Z57"")"),335.75)</f>
        <v>335.75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IFERROR(__xludf.DUMMYFUNCTION("IMPORTRANGE(""https://docs.google.com/spreadsheets/d/1QqKyyYR6Q21VydFLVH3TRQUabQu_ym0Zz7PgGX0-kHA/edit?usp=sharing"",""แผน!EP57"")"),18)</f>
        <v>18</v>
      </c>
      <c r="J362" s="37">
        <f ca="1">IFERROR(__xludf.DUMMYFUNCTION("IMPORTRANGE(""https://docs.google.com/spreadsheets/d/1XWAQStnk-4SwqDmLtmXYiTMKHgktTP8We1SCoS47DrQ/edit?usp=sharing"",""จัดที่ดิน!AA57"")"),37)</f>
        <v>37</v>
      </c>
      <c r="K362" s="38">
        <f t="shared" ca="1" si="161"/>
        <v>205.55555555555554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IFERROR(__xludf.DUMMYFUNCTION("IMPORTRANGE(""https://docs.google.com/spreadsheets/d/1XWAQStnk-4SwqDmLtmXYiTMKHgktTP8We1SCoS47DrQ/edit?usp=sharing"",""จัดที่ดิน!AB57"")"),476.45)</f>
        <v>476.45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88</v>
      </c>
      <c r="J364" s="452">
        <f t="shared" ca="1" si="162"/>
        <v>96</v>
      </c>
      <c r="K364" s="453">
        <f t="shared" ca="1" si="161"/>
        <v>109.09090909090909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IFERROR(__xludf.DUMMYFUNCTION("IMPORTRANGE(""https://docs.google.com/spreadsheets/d/1QqKyyYR6Q21VydFLVH3TRQUabQu_ym0Zz7PgGX0-kHA/edit?usp=sharing"",""แผน!EJ57"")"),3)</f>
        <v>3</v>
      </c>
      <c r="J365" s="462">
        <f ca="1">J372</f>
        <v>27</v>
      </c>
      <c r="K365" s="463">
        <f t="shared" ca="1" si="161"/>
        <v>900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IFERROR(__xludf.DUMMYFUNCTION("IMPORTRANGE(""https://docs.google.com/spreadsheets/d/1XWAQStnk-4SwqDmLtmXYiTMKHgktTP8We1SCoS47DrQ/edit?usp=sharing"",""จัดที่ดิน!E57"")"),20)</f>
        <v>20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IFERROR(__xludf.DUMMYFUNCTION("IMPORTRANGE(""https://docs.google.com/spreadsheets/d/1QqKyyYR6Q21VydFLVH3TRQUabQu_ym0Zz7PgGX0-kHA/edit?usp=sharing"",""แผน!EI57"")"),13)</f>
        <v>13</v>
      </c>
      <c r="J369" s="37">
        <f ca="1">IFERROR(__xludf.DUMMYFUNCTION("IMPORTRANGE(""https://docs.google.com/spreadsheets/d/1XWAQStnk-4SwqDmLtmXYiTMKHgktTP8We1SCoS47DrQ/edit?usp=sharing"",""จัดที่ดิน!F57"")"),180.79)</f>
        <v>180.79</v>
      </c>
      <c r="K369" s="38">
        <f t="shared" ca="1" si="163"/>
        <v>1390.6923076923076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IFERROR(__xludf.DUMMYFUNCTION("IMPORTRANGE(""https://docs.google.com/spreadsheets/d/1QqKyyYR6Q21VydFLVH3TRQUabQu_ym0Zz7PgGX0-kHA/edit?usp=sharing"",""แผน!EJ57"")"),3)</f>
        <v>3</v>
      </c>
      <c r="J370" s="37">
        <f ca="1">IFERROR(__xludf.DUMMYFUNCTION("IMPORTRANGE(""https://docs.google.com/spreadsheets/d/1XWAQStnk-4SwqDmLtmXYiTMKHgktTP8We1SCoS47DrQ/edit?usp=sharing"",""จัดที่ดิน!G57"")"),26)</f>
        <v>26</v>
      </c>
      <c r="K370" s="38">
        <f t="shared" ca="1" si="163"/>
        <v>866.66666666666663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IFERROR(__xludf.DUMMYFUNCTION("IMPORTRANGE(""https://docs.google.com/spreadsheets/d/1XWAQStnk-4SwqDmLtmXYiTMKHgktTP8We1SCoS47DrQ/edit?usp=sharing"",""จัดที่ดิน!H57"")"),206.4)</f>
        <v>206.4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IFERROR(__xludf.DUMMYFUNCTION("IMPORTRANGE(""https://docs.google.com/spreadsheets/d/1QqKyyYR6Q21VydFLVH3TRQUabQu_ym0Zz7PgGX0-kHA/edit?usp=sharing"",""แผน!EJ57"")"),3)</f>
        <v>3</v>
      </c>
      <c r="J372" s="37">
        <f ca="1">IFERROR(__xludf.DUMMYFUNCTION("IMPORTRANGE(""https://docs.google.com/spreadsheets/d/1XWAQStnk-4SwqDmLtmXYiTMKHgktTP8We1SCoS47DrQ/edit?usp=sharing"",""จัดที่ดิน!I57"")"),27)</f>
        <v>27</v>
      </c>
      <c r="K372" s="38">
        <f t="shared" ca="1" si="163"/>
        <v>900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IFERROR(__xludf.DUMMYFUNCTION("IMPORTRANGE(""https://docs.google.com/spreadsheets/d/1XWAQStnk-4SwqDmLtmXYiTMKHgktTP8We1SCoS47DrQ/edit?usp=sharing"",""จัดที่ดิน!J57"")"),365.08)</f>
        <v>365.08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IFERROR(__xludf.DUMMYFUNCTION("IMPORTRANGE(""https://docs.google.com/spreadsheets/d/1QqKyyYR6Q21VydFLVH3TRQUabQu_ym0Zz7PgGX0-kHA/edit?usp=sharing"",""แผน!EU57"")"),85)</f>
        <v>85</v>
      </c>
      <c r="J374" s="462">
        <f ca="1">J381</f>
        <v>69</v>
      </c>
      <c r="K374" s="463">
        <f t="shared" ca="1" si="163"/>
        <v>81.17647058823529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IFERROR(__xludf.DUMMYFUNCTION("IMPORTRANGE(""https://docs.google.com/spreadsheets/d/1XWAQStnk-4SwqDmLtmXYiTMKHgktTP8We1SCoS47DrQ/edit?usp=sharing"",""จัดที่ดิน!AH57"")"),10)</f>
        <v>10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IFERROR(__xludf.DUMMYFUNCTION("IMPORTRANGE(""https://docs.google.com/spreadsheets/d/1QqKyyYR6Q21VydFLVH3TRQUabQu_ym0Zz7PgGX0-kHA/edit?usp=sharing"",""แผน!ET57"")"),150)</f>
        <v>150</v>
      </c>
      <c r="J378" s="37">
        <f ca="1">IFERROR(__xludf.DUMMYFUNCTION("IMPORTRANGE(""https://docs.google.com/spreadsheets/d/1XWAQStnk-4SwqDmLtmXYiTMKHgktTP8We1SCoS47DrQ/edit?usp=sharing"",""จัดที่ดิน!AI57"")"),111.37)</f>
        <v>111.37</v>
      </c>
      <c r="K378" s="38">
        <f t="shared" ca="1" si="164"/>
        <v>74.24666666666667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IFERROR(__xludf.DUMMYFUNCTION("IMPORTRANGE(""https://docs.google.com/spreadsheets/d/1QqKyyYR6Q21VydFLVH3TRQUabQu_ym0Zz7PgGX0-kHA/edit?usp=sharing"",""แผน!EU57"")"),85)</f>
        <v>85</v>
      </c>
      <c r="J379" s="37">
        <f ca="1">IFERROR(__xludf.DUMMYFUNCTION("IMPORTRANGE(""https://docs.google.com/spreadsheets/d/1XWAQStnk-4SwqDmLtmXYiTMKHgktTP8We1SCoS47DrQ/edit?usp=sharing"",""จัดที่ดิน!AJ57"")"),71)</f>
        <v>71</v>
      </c>
      <c r="K379" s="38">
        <f t="shared" ca="1" si="164"/>
        <v>83.529411764705884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IFERROR(__xludf.DUMMYFUNCTION("IMPORTRANGE(""https://docs.google.com/spreadsheets/d/1XWAQStnk-4SwqDmLtmXYiTMKHgktTP8We1SCoS47DrQ/edit?usp=sharing"",""จัดที่ดิน!AK57"")"),1210.55)</f>
        <v>1210.55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IFERROR(__xludf.DUMMYFUNCTION("IMPORTRANGE(""https://docs.google.com/spreadsheets/d/1QqKyyYR6Q21VydFLVH3TRQUabQu_ym0Zz7PgGX0-kHA/edit?usp=sharing"",""แผน!EU57"")"),85)</f>
        <v>85</v>
      </c>
      <c r="J381" s="37">
        <f ca="1">IFERROR(__xludf.DUMMYFUNCTION("IMPORTRANGE(""https://docs.google.com/spreadsheets/d/1XWAQStnk-4SwqDmLtmXYiTMKHgktTP8We1SCoS47DrQ/edit?usp=sharing"",""จัดที่ดิน!AL57"")"),69)</f>
        <v>69</v>
      </c>
      <c r="K381" s="38">
        <f t="shared" ca="1" si="164"/>
        <v>81.17647058823529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IFERROR(__xludf.DUMMYFUNCTION("IMPORTRANGE(""https://docs.google.com/spreadsheets/d/1XWAQStnk-4SwqDmLtmXYiTMKHgktTP8We1SCoS47DrQ/edit?usp=sharing"",""จัดที่ดิน!AM57"")"),1201.21)</f>
        <v>1201.21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IFERROR(__xludf.DUMMYFUNCTION("IMPORTRANGE(""https://docs.google.com/spreadsheets/d/1QqKyyYR6Q21VydFLVH3TRQUabQu_ym0Zz7PgGX0-kHA/edit?usp=sharing"",""แผน!EW57"")"),7)</f>
        <v>7</v>
      </c>
      <c r="J385" s="365">
        <f ca="1">IFERROR(__xludf.DUMMYFUNCTION("IMPORTRANGE(""https://docs.google.com/spreadsheets/d/1XWAQStnk-4SwqDmLtmXYiTMKHgktTP8We1SCoS47DrQ/edit?usp=sharing"",""จัดที่ดิน!AP57"")"),0)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IFERROR(__xludf.DUMMYFUNCTION("IMPORTRANGE(""https://docs.google.com/spreadsheets/d/1MeEWN-I1oV_STSDYn1IFDPWt_1FKiwhDph83XaGc0o0/edit?usp=sharing"",""งบพรบ!FG57"")"),0)</f>
        <v>0</v>
      </c>
      <c r="M394" s="45">
        <f ca="1">IFERROR(__xludf.DUMMYFUNCTION("IMPORTRANGE(""https://docs.google.com/spreadsheets/d/1MeEWN-I1oV_STSDYn1IFDPWt_1FKiwhDph83XaGc0o0/edit?usp=sharing"",""งบพรบ!FL57"")"),0)</f>
        <v>0</v>
      </c>
      <c r="N394" s="45">
        <f ca="1">IFERROR(__xludf.DUMMYFUNCTION("IMPORTRANGE(""https://docs.google.com/spreadsheets/d/1MeEWN-I1oV_STSDYn1IFDPWt_1FKiwhDph83XaGc0o0/edit?usp=sharing"",""งบพรบ!FN57"")"),0)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IFERROR(__xludf.DUMMYFUNCTION("IMPORTRANGE(""https://docs.google.com/spreadsheets/d/1MeEWN-I1oV_STSDYn1IFDPWt_1FKiwhDph83XaGc0o0/edit?usp=sharing"",""งบพรบ!FJ57"")"),0)</f>
        <v>0</v>
      </c>
      <c r="M397" s="45">
        <f ca="1">IFERROR(__xludf.DUMMYFUNCTION("IMPORTRANGE(""https://docs.google.com/spreadsheets/d/1MeEWN-I1oV_STSDYn1IFDPWt_1FKiwhDph83XaGc0o0/edit?usp=sharing"",""งบพรบ!FM57"")"),0)</f>
        <v>0</v>
      </c>
      <c r="N397" s="45">
        <f ca="1">IFERROR(__xludf.DUMMYFUNCTION("IMPORTRANGE(""https://docs.google.com/spreadsheets/d/1MeEWN-I1oV_STSDYn1IFDPWt_1FKiwhDph83XaGc0o0/edit?usp=sharing"",""งบพรบ!FO57"")"),0)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IFERROR(__xludf.DUMMYFUNCTION("IMPORTRANGE(""https://docs.google.com/spreadsheets/d/1MeEWN-I1oV_STSDYn1IFDPWt_1FKiwhDph83XaGc0o0/edit?usp=sharing"",""งบพรบ!FQ57"")"),0)</f>
        <v>0</v>
      </c>
      <c r="M407" s="45">
        <f ca="1">IFERROR(__xludf.DUMMYFUNCTION("IMPORTRANGE(""https://docs.google.com/spreadsheets/d/1MeEWN-I1oV_STSDYn1IFDPWt_1FKiwhDph83XaGc0o0/edit?usp=sharing"",""งบพรบ!FV57"")"),0)</f>
        <v>0</v>
      </c>
      <c r="N407" s="45">
        <f ca="1">IFERROR(__xludf.DUMMYFUNCTION("IMPORTRANGE(""https://docs.google.com/spreadsheets/d/1MeEWN-I1oV_STSDYn1IFDPWt_1FKiwhDph83XaGc0o0/edit?usp=sharing"",""งบพรบ!FX57"")"),0)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IFERROR(__xludf.DUMMYFUNCTION("IMPORTRANGE(""https://docs.google.com/spreadsheets/d/1MeEWN-I1oV_STSDYn1IFDPWt_1FKiwhDph83XaGc0o0/edit?usp=sharing"",""งบพรบ!FT57"")"),0)</f>
        <v>0</v>
      </c>
      <c r="M410" s="45">
        <f ca="1">IFERROR(__xludf.DUMMYFUNCTION("IMPORTRANGE(""https://docs.google.com/spreadsheets/d/1MeEWN-I1oV_STSDYn1IFDPWt_1FKiwhDph83XaGc0o0/edit?usp=sharing"",""งบพรบ!FW57"")"),0)</f>
        <v>0</v>
      </c>
      <c r="N410" s="45">
        <f ca="1">IFERROR(__xludf.DUMMYFUNCTION("IMPORTRANGE(""https://docs.google.com/spreadsheets/d/1MeEWN-I1oV_STSDYn1IFDPWt_1FKiwhDph83XaGc0o0/edit?usp=sharing"",""งบพรบ!FY57"")"),0)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642908</v>
      </c>
      <c r="M414" s="518">
        <f t="shared" ca="1" si="181"/>
        <v>642908</v>
      </c>
      <c r="N414" s="518">
        <f t="shared" si="181"/>
        <v>301310</v>
      </c>
      <c r="O414" s="518">
        <f ca="1">IF(L414&gt;0,N414*100/L414,0)</f>
        <v>46.866736764824829</v>
      </c>
      <c r="P414" s="518">
        <f ca="1">IF(M414&gt;0,N414*100/M414,0)</f>
        <v>46.866736764824829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66150</v>
      </c>
      <c r="O419" s="154">
        <f t="shared" ref="O419:O424" ca="1" si="185">IF(L419&gt;0,N419*100/L419,0)</f>
        <v>84.096109839816933</v>
      </c>
      <c r="P419" s="154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66150</v>
      </c>
      <c r="O421" s="45">
        <f t="shared" ca="1" si="185"/>
        <v>84.096109839816933</v>
      </c>
      <c r="P421" s="45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66150</v>
      </c>
      <c r="O422" s="38">
        <f t="shared" ca="1" si="185"/>
        <v>84.096109839816933</v>
      </c>
      <c r="P422" s="38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IFERROR(__xludf.DUMMYFUNCTION("IMPORTRANGE(""https://docs.google.com/spreadsheets/d/1QqKyyYR6Q21VydFLVH3TRQUabQu_ym0Zz7PgGX0-kHA/edit?usp=sharing"",""แผน!EY57"")"),78660)</f>
        <v>78660</v>
      </c>
      <c r="M424" s="45">
        <f ca="1">L424</f>
        <v>78660</v>
      </c>
      <c r="N424" s="45">
        <f>N425+N426+N427+N428</f>
        <v>66150</v>
      </c>
      <c r="O424" s="45">
        <f t="shared" ca="1" si="185"/>
        <v>84.096109839816933</v>
      </c>
      <c r="P424" s="45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48400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6500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11250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IFERROR(__xludf.DUMMYFUNCTION("IMPORTRANGE(""https://docs.google.com/spreadsheets/d/1QqKyyYR6Q21VydFLVH3TRQUabQu_ym0Zz7PgGX0-kHA/edit?usp=sharing"",""แผน!FC57"")"),20)</f>
        <v>20</v>
      </c>
      <c r="J435" s="54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IFERROR(__xludf.DUMMYFUNCTION("IMPORTRANGE(""https://docs.google.com/spreadsheets/d/1QqKyyYR6Q21VydFLVH3TRQUabQu_ym0Zz7PgGX0-kHA/edit?usp=sharing"",""แผน!FD57"")"),0)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IFERROR(__xludf.DUMMYFUNCTION("IMPORTRANGE(""https://docs.google.com/spreadsheets/d/1QqKyyYR6Q21VydFLVH3TRQUabQu_ym0Zz7PgGX0-kHA/edit?usp=sharing"",""แผน!FF57"")"),20)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IFERROR(__xludf.DUMMYFUNCTION("IMPORTRANGE(""https://docs.google.com/spreadsheets/d/1QqKyyYR6Q21VydFLVH3TRQUabQu_ym0Zz7PgGX0-kHA/edit?usp=sharing"",""แผน!FJ57"")"),0)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IFERROR(__xludf.DUMMYFUNCTION("IMPORTRANGE(""https://docs.google.com/spreadsheets/d/1QqKyyYR6Q21VydFLVH3TRQUabQu_ym0Zz7PgGX0-kHA/edit?usp=sharing"",""แผน!FN57"")"),0)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IFERROR(__xludf.DUMMYFUNCTION("IMPORTRANGE(""https://docs.google.com/spreadsheets/d/1QqKyyYR6Q21VydFLVH3TRQUabQu_ym0Zz7PgGX0-kHA/edit?usp=sharing"",""แผน!FO57"")"),0)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IFERROR(__xludf.DUMMYFUNCTION("IMPORTRANGE(""https://docs.google.com/spreadsheets/d/1QqKyyYR6Q21VydFLVH3TRQUabQu_ym0Zz7PgGX0-kHA/edit?usp=sharing"",""แผน!FO57"")"),0)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IFERROR(__xludf.DUMMYFUNCTION("IMPORTRANGE(""https://docs.google.com/spreadsheets/d/1QqKyyYR6Q21VydFLVH3TRQUabQu_ym0Zz7PgGX0-kHA/edit?usp=sharing"",""แผน!FN57"")"),0)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IFERROR(__xludf.DUMMYFUNCTION("IMPORTRANGE(""https://docs.google.com/spreadsheets/d/1QqKyyYR6Q21VydFLVH3TRQUabQu_ym0Zz7PgGX0-kHA/edit?usp=sharing"",""แผน!FX57"")"),21)</f>
        <v>21</v>
      </c>
      <c r="J465" s="552">
        <f>J485+J489+J492</f>
        <v>21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IFERROR(__xludf.DUMMYFUNCTION("IMPORTRANGE(""https://docs.google.com/spreadsheets/d/1QqKyyYR6Q21VydFLVH3TRQUabQu_ym0Zz7PgGX0-kHA/edit?usp=sharing"",""แผน!FW57"")"),200)</f>
        <v>200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179763</v>
      </c>
      <c r="M467" s="191">
        <f t="shared" ca="1" si="206"/>
        <v>179763</v>
      </c>
      <c r="N467" s="191">
        <f t="shared" si="206"/>
        <v>41315</v>
      </c>
      <c r="O467" s="191">
        <f t="shared" ref="O467:O472" ca="1" si="207">IF(L467&gt;0,N467*100/L467,0)</f>
        <v>22.98303877883658</v>
      </c>
      <c r="P467" s="191">
        <f t="shared" ref="P467:P472" ca="1" si="208">IF(M467&gt;0,N467*100/M467,0)</f>
        <v>22.98303877883658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179763</v>
      </c>
      <c r="M469" s="45">
        <f t="shared" ca="1" si="209"/>
        <v>179763</v>
      </c>
      <c r="N469" s="45">
        <f t="shared" si="209"/>
        <v>41315</v>
      </c>
      <c r="O469" s="45">
        <f t="shared" ca="1" si="207"/>
        <v>22.98303877883658</v>
      </c>
      <c r="P469" s="45">
        <f t="shared" ca="1" si="208"/>
        <v>22.98303877883658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179763</v>
      </c>
      <c r="M470" s="38">
        <f t="shared" ca="1" si="210"/>
        <v>179763</v>
      </c>
      <c r="N470" s="38">
        <f t="shared" si="210"/>
        <v>41315</v>
      </c>
      <c r="O470" s="38">
        <f t="shared" ca="1" si="207"/>
        <v>22.98303877883658</v>
      </c>
      <c r="P470" s="38">
        <f t="shared" ca="1" si="208"/>
        <v>22.98303877883658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IFERROR(__xludf.DUMMYFUNCTION("IMPORTRANGE(""https://docs.google.com/spreadsheets/d/1QqKyyYR6Q21VydFLVH3TRQUabQu_ym0Zz7PgGX0-kHA/edit?usp=sharing"",""แผน!FS57"")"),179763)</f>
        <v>179763</v>
      </c>
      <c r="M472" s="45">
        <f ca="1">L472</f>
        <v>179763</v>
      </c>
      <c r="N472" s="45">
        <f>N473+N474+N475+N476</f>
        <v>41315</v>
      </c>
      <c r="O472" s="45">
        <f t="shared" ca="1" si="207"/>
        <v>22.98303877883658</v>
      </c>
      <c r="P472" s="45">
        <f t="shared" ca="1" si="208"/>
        <v>22.98303877883658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25780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5640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3500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6395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IFERROR(__xludf.DUMMYFUNCTION("IMPORTRANGE(""https://docs.google.com/spreadsheets/d/1QqKyyYR6Q21VydFLVH3TRQUabQu_ym0Zz7PgGX0-kHA/edit?usp=sharing"",""แผน!FY57"")"),180)</f>
        <v>180</v>
      </c>
      <c r="J483" s="181">
        <v>180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18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IFERROR(__xludf.DUMMYFUNCTION("IMPORTRANGE(""https://docs.google.com/spreadsheets/d/1QqKyyYR6Q21VydFLVH3TRQUabQu_ym0Zz7PgGX0-kHA/edit?usp=sharing"",""แผน!FZ57"")"),18)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IFERROR(__xludf.DUMMYFUNCTION("IMPORTRANGE(""https://docs.google.com/spreadsheets/d/1QqKyyYR6Q21VydFLVH3TRQUabQu_ym0Zz7PgGX0-kHA/edit?usp=sharing"",""แผน!GA57"")"),20)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2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IFERROR(__xludf.DUMMYFUNCTION("IMPORTRANGE(""https://docs.google.com/spreadsheets/d/1QqKyyYR6Q21VydFLVH3TRQUabQu_ym0Zz7PgGX0-kHA/edit?usp=sharing"",""แผน!GB57"")"),2)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IFERROR(__xludf.DUMMYFUNCTION("IMPORTRANGE(""https://docs.google.com/spreadsheets/d/1QqKyyYR6Q21VydFLVH3TRQUabQu_ym0Zz7PgGX0-kHA/edit?usp=sharing"",""แผน!FY57"")"),180)</f>
        <v>180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IFERROR(__xludf.DUMMYFUNCTION("IMPORTRANGE(""https://docs.google.com/spreadsheets/d/1QqKyyYR6Q21VydFLVH3TRQUabQu_ym0Zz7PgGX0-kHA/edit?usp=sharing"",""แผน!GA57"")"),20)</f>
        <v>20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217100</v>
      </c>
      <c r="M544" s="154">
        <f t="shared" ca="1" si="236"/>
        <v>217100</v>
      </c>
      <c r="N544" s="154">
        <f t="shared" si="236"/>
        <v>122705</v>
      </c>
      <c r="O544" s="154">
        <f t="shared" ref="O544:O549" ca="1" si="237">IF(L544&gt;0,N544*100/L544,0)</f>
        <v>56.520036849378165</v>
      </c>
      <c r="P544" s="154">
        <f t="shared" ref="P544:P549" ca="1" si="238">IF(M544&gt;0,N544*100/M544,0)</f>
        <v>56.520036849378165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217100</v>
      </c>
      <c r="M546" s="45">
        <f t="shared" ca="1" si="240"/>
        <v>217100</v>
      </c>
      <c r="N546" s="45">
        <f t="shared" si="240"/>
        <v>122705</v>
      </c>
      <c r="O546" s="45">
        <f t="shared" ca="1" si="237"/>
        <v>56.520036849378165</v>
      </c>
      <c r="P546" s="45">
        <f t="shared" ca="1" si="238"/>
        <v>56.520036849378165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217100</v>
      </c>
      <c r="M547" s="38">
        <f t="shared" ca="1" si="241"/>
        <v>217100</v>
      </c>
      <c r="N547" s="38">
        <f t="shared" si="241"/>
        <v>122705</v>
      </c>
      <c r="O547" s="38">
        <f t="shared" ca="1" si="237"/>
        <v>56.520036849378165</v>
      </c>
      <c r="P547" s="38">
        <f t="shared" ca="1" si="238"/>
        <v>56.520036849378165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IFERROR(__xludf.DUMMYFUNCTION("IMPORTRANGE(""https://docs.google.com/spreadsheets/d/1QqKyyYR6Q21VydFLVH3TRQUabQu_ym0Zz7PgGX0-kHA/edit?usp=sharing"",""แผน!HB57"")"),217100)</f>
        <v>217100</v>
      </c>
      <c r="M549" s="45">
        <f ca="1">L549</f>
        <v>217100</v>
      </c>
      <c r="N549" s="45">
        <f>N550+N551+N552+N553+N554</f>
        <v>122705</v>
      </c>
      <c r="O549" s="45">
        <f t="shared" ca="1" si="237"/>
        <v>56.520036849378165</v>
      </c>
      <c r="P549" s="45">
        <f t="shared" ca="1" si="238"/>
        <v>56.520036849378165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27305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91000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4400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IFERROR(__xludf.DUMMYFUNCTION("IMPORTRANGE(""https://docs.google.com/spreadsheets/d/1QqKyyYR6Q21VydFLVH3TRQUabQu_ym0Zz7PgGX0-kHA/edit?usp=sharing"",""แผน!HH57"")"),0)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IFERROR(__xludf.DUMMYFUNCTION("IMPORTRANGE(""https://docs.google.com/spreadsheets/d/1QqKyyYR6Q21VydFLVH3TRQUabQu_ym0Zz7PgGX0-kHA/edit?usp=sharing"",""แผน!HG57"")"),0)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IFERROR(__xludf.DUMMYFUNCTION("IMPORTRANGE(""https://docs.google.com/spreadsheets/d/1QqKyyYR6Q21VydFLVH3TRQUabQu_ym0Zz7PgGX0-kHA/edit?usp=sharing"",""แผน!HH57"")"),0)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IFERROR(__xludf.DUMMYFUNCTION("IMPORTRANGE(""https://docs.google.com/spreadsheets/d/1QqKyyYR6Q21VydFLVH3TRQUabQu_ym0Zz7PgGX0-kHA/edit?usp=sharing"",""แผน!HG57"")"),0)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IFERROR(__xludf.DUMMYFUNCTION("IMPORTRANGE(""https://docs.google.com/spreadsheets/d/1QqKyyYR6Q21VydFLVH3TRQUabQu_ym0Zz7PgGX0-kHA/edit?usp=sharing"",""แผน!HH57"")"),0)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IFERROR(__xludf.DUMMYFUNCTION("IMPORTRANGE(""https://docs.google.com/spreadsheets/d/1QqKyyYR6Q21VydFLVH3TRQUabQu_ym0Zz7PgGX0-kHA/edit?usp=sharing"",""แผน!HG57"")"),0)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274.72000000000003</v>
      </c>
      <c r="J592" s="627">
        <f t="shared" si="253"/>
        <v>0</v>
      </c>
      <c r="K592" s="628">
        <f t="shared" ref="K592:K594" ca="1" si="254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IFERROR(__xludf.DUMMYFUNCTION("IMPORTRANGE(""https://docs.google.com/spreadsheets/d/1QqKyyYR6Q21VydFLVH3TRQUabQu_ym0Zz7PgGX0-kHA/edit?usp=sharing"",""แผน!HJ57"")"),274.72)</f>
        <v>274.72000000000003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IFERROR(__xludf.DUMMYFUNCTION("IMPORTRANGE(""https://docs.google.com/spreadsheets/d/1QqKyyYR6Q21VydFLVH3TRQUabQu_ym0Zz7PgGX0-kHA/edit?usp=sharing"",""แผน!HI57"")"),17)</f>
        <v>17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IFERROR(__xludf.DUMMYFUNCTION("IMPORTRANGE(""https://docs.google.com/spreadsheets/d/1QqKyyYR6Q21VydFLVH3TRQUabQu_ym0Zz7PgGX0-kHA/edit?usp=sharing"",""แผน!HL57"")"),0)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IFERROR(__xludf.DUMMYFUNCTION("IMPORTRANGE(""https://docs.google.com/spreadsheets/d/1QqKyyYR6Q21VydFLVH3TRQUabQu_ym0Zz7PgGX0-kHA/edit?usp=sharing"",""แผน!HK57"")"),0)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6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146945</v>
      </c>
      <c r="M629" s="191">
        <f t="shared" ca="1" si="263"/>
        <v>146945</v>
      </c>
      <c r="N629" s="191">
        <f t="shared" si="263"/>
        <v>64580</v>
      </c>
      <c r="O629" s="191">
        <f t="shared" ref="O629:O634" ca="1" si="264">IF(L629&gt;0,N629*100/L629,0)</f>
        <v>43.948416074041305</v>
      </c>
      <c r="P629" s="191">
        <f t="shared" ref="P629:P634" ca="1" si="265">IF(M629&gt;0,N629*100/M629,0)</f>
        <v>43.948416074041305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146945</v>
      </c>
      <c r="M631" s="45">
        <f t="shared" ca="1" si="266"/>
        <v>146945</v>
      </c>
      <c r="N631" s="45">
        <f t="shared" si="266"/>
        <v>64580</v>
      </c>
      <c r="O631" s="45">
        <f t="shared" ca="1" si="264"/>
        <v>43.948416074041305</v>
      </c>
      <c r="P631" s="45">
        <f t="shared" ca="1" si="265"/>
        <v>43.948416074041305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146945</v>
      </c>
      <c r="M632" s="38">
        <f t="shared" ca="1" si="267"/>
        <v>146945</v>
      </c>
      <c r="N632" s="38">
        <f t="shared" si="267"/>
        <v>64580</v>
      </c>
      <c r="O632" s="38">
        <f t="shared" ca="1" si="264"/>
        <v>43.948416074041305</v>
      </c>
      <c r="P632" s="38">
        <f t="shared" ca="1" si="265"/>
        <v>43.948416074041305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IFERROR(__xludf.DUMMYFUNCTION("IMPORTRANGE(""https://docs.google.com/spreadsheets/d/1QqKyyYR6Q21VydFLVH3TRQUabQu_ym0Zz7PgGX0-kHA/edit?usp=sharing"",""แผน!HN57"")"),146945)</f>
        <v>146945</v>
      </c>
      <c r="M634" s="45">
        <f ca="1">L634</f>
        <v>146945</v>
      </c>
      <c r="N634" s="45">
        <f>N635+N636+N637+N638</f>
        <v>64580</v>
      </c>
      <c r="O634" s="45">
        <f t="shared" ca="1" si="264"/>
        <v>43.948416074041305</v>
      </c>
      <c r="P634" s="45">
        <f t="shared" ca="1" si="265"/>
        <v>43.948416074041305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f>4155+15000+17150</f>
        <v>36305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28275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IFERROR(__xludf.DUMMYFUNCTION("IMPORTRANGE(""https://docs.google.com/spreadsheets/d/1QqKyyYR6Q21VydFLVH3TRQUabQu_ym0Zz7PgGX0-kHA/edit?usp=sharing"",""แผน!HR57"")"),0)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IFERROR(__xludf.DUMMYFUNCTION("IMPORTRANGE(""https://docs.google.com/spreadsheets/d/1QqKyyYR6Q21VydFLVH3TRQUabQu_ym0Zz7PgGX0-kHA/edit?usp=sharing"",""แผน!HR57"")"),0)</f>
        <v>0</v>
      </c>
      <c r="J644" s="181">
        <v>1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IFERROR(__xludf.DUMMYFUNCTION("IMPORTRANGE(""https://docs.google.com/spreadsheets/d/1XWAQStnk-4SwqDmLtmXYiTMKHgktTP8We1SCoS47DrQ/edit?usp=sharing"",""จัดที่ดิน!AS57"")"),3)</f>
        <v>3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IFERROR(__xludf.DUMMYFUNCTION("IMPORTRANGE(""https://docs.google.com/spreadsheets/d/1XWAQStnk-4SwqDmLtmXYiTMKHgktTP8We1SCoS47DrQ/edit?usp=sharing"",""จัดที่ดิน!AT57"")"),1.39)</f>
        <v>1.39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IFERROR(__xludf.DUMMYFUNCTION("IMPORTRANGE(""https://docs.google.com/spreadsheets/d/1QqKyyYR6Q21VydFLVH3TRQUabQu_ym0Zz7PgGX0-kHA/edit?usp=sharing"",""แผน!HS57"")"),6)</f>
        <v>6</v>
      </c>
      <c r="J647" s="37">
        <f ca="1">IFERROR(__xludf.DUMMYFUNCTION("IMPORTRANGE(""https://docs.google.com/spreadsheets/d/1XWAQStnk-4SwqDmLtmXYiTMKHgktTP8We1SCoS47DrQ/edit?usp=sharing"",""จัดที่ดิน!AU57"")"),10)</f>
        <v>10</v>
      </c>
      <c r="K647" s="162">
        <f t="shared" ca="1" si="271"/>
        <v>166.66666666666666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IFERROR(__xludf.DUMMYFUNCTION("IMPORTRANGE(""https://docs.google.com/spreadsheets/d/1XWAQStnk-4SwqDmLtmXYiTMKHgktTP8We1SCoS47DrQ/edit?usp=sharing"",""จัดที่ดิน!AV57"")"),6.9)</f>
        <v>6.9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IFERROR(__xludf.DUMMYFUNCTION("IMPORTRANGE(""https://docs.google.com/spreadsheets/d/1QqKyyYR6Q21VydFLVH3TRQUabQu_ym0Zz7PgGX0-kHA/edit?usp=sharing"",""แผน!HS57"")"),6)</f>
        <v>6</v>
      </c>
      <c r="J649" s="37">
        <f ca="1">IFERROR(__xludf.DUMMYFUNCTION("IMPORTRANGE(""https://docs.google.com/spreadsheets/d/1XWAQStnk-4SwqDmLtmXYiTMKHgktTP8We1SCoS47DrQ/edit?usp=sharing"",""จัดที่ดิน!AW57"")"),8)</f>
        <v>8</v>
      </c>
      <c r="K649" s="162">
        <f t="shared" ca="1" si="271"/>
        <v>133.33333333333334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IFERROR(__xludf.DUMMYFUNCTION("IMPORTRANGE(""https://docs.google.com/spreadsheets/d/1XWAQStnk-4SwqDmLtmXYiTMKHgktTP8We1SCoS47DrQ/edit?usp=sharing"",""จัดที่ดิน!AX57"")"),5.07)</f>
        <v>5.07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IFERROR(__xludf.DUMMYFUNCTION("IMPORTRANGE(""https://docs.google.com/spreadsheets/d/1QqKyyYR6Q21VydFLVH3TRQUabQu_ym0Zz7PgGX0-kHA/edit?usp=sharing"",""แผน!HS57"")"),6)</f>
        <v>6</v>
      </c>
      <c r="J651" s="37">
        <f ca="1">IFERROR(__xludf.DUMMYFUNCTION("IMPORTRANGE(""https://docs.google.com/spreadsheets/d/1XWAQStnk-4SwqDmLtmXYiTMKHgktTP8We1SCoS47DrQ/edit?usp=sharing"",""จัดที่ดิน!AY57"")"),0)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IFERROR(__xludf.DUMMYFUNCTION("IMPORTRANGE(""https://docs.google.com/spreadsheets/d/1XWAQStnk-4SwqDmLtmXYiTMKHgktTP8We1SCoS47DrQ/edit?usp=sharing"",""จัดที่ดิน!AZ57"")"),0)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1840</v>
      </c>
      <c r="O655" s="191">
        <f t="shared" ref="O655:O660" ca="1" si="274">IF(L655&gt;0,N655*100/L655,0)</f>
        <v>19.574468085106382</v>
      </c>
      <c r="P655" s="191">
        <f t="shared" ref="P655:P660" ca="1" si="275">IF(M655&gt;0,N655*100/M655,0)</f>
        <v>19.574468085106382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1840</v>
      </c>
      <c r="O657" s="45">
        <f t="shared" ca="1" si="274"/>
        <v>19.574468085106382</v>
      </c>
      <c r="P657" s="45">
        <f t="shared" ca="1" si="275"/>
        <v>19.574468085106382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1840</v>
      </c>
      <c r="O658" s="38">
        <f t="shared" ca="1" si="274"/>
        <v>19.574468085106382</v>
      </c>
      <c r="P658" s="38">
        <f t="shared" ca="1" si="275"/>
        <v>19.574468085106382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IFERROR(__xludf.DUMMYFUNCTION("IMPORTRANGE(""https://docs.google.com/spreadsheets/d/1QqKyyYR6Q21VydFLVH3TRQUabQu_ym0Zz7PgGX0-kHA/edit?usp=sharing"",""แผน!HV57"")"),9400)</f>
        <v>9400</v>
      </c>
      <c r="M660" s="45">
        <f ca="1">L660</f>
        <v>9400</v>
      </c>
      <c r="N660" s="45">
        <f>N661+N662+N663+N664</f>
        <v>1840</v>
      </c>
      <c r="O660" s="45">
        <f t="shared" ca="1" si="274"/>
        <v>19.574468085106382</v>
      </c>
      <c r="P660" s="45">
        <f t="shared" ca="1" si="275"/>
        <v>19.574468085106382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1840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IFERROR(__xludf.DUMMYFUNCTION("IMPORTRANGE(""https://docs.google.com/spreadsheets/d/1QqKyyYR6Q21VydFLVH3TRQUabQu_ym0Zz7PgGX0-kHA/edit?usp=sharing"",""แผน!IA57"")"),50)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IFERROR(__xludf.DUMMYFUNCTION("IMPORTRANGE(""https://docs.google.com/spreadsheets/d/1QqKyyYR6Q21VydFLVH3TRQUabQu_ym0Zz7PgGX0-kHA/edit?usp=sharing"",""แผน!HZ57"")"),4)</f>
        <v>4</v>
      </c>
      <c r="J670" s="181">
        <v>8</v>
      </c>
      <c r="K670" s="38">
        <f ca="1">IF(I670&gt;0,(J670*100)/I670,0)</f>
        <v>200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IFERROR(__xludf.DUMMYFUNCTION("IMPORTRANGE(""https://docs.google.com/spreadsheets/d/1QqKyyYR6Q21VydFLVH3TRQUabQu_ym0Zz7PgGX0-kHA/edit?usp=sharing"",""แผน!HZ57"")"),4)</f>
        <v>4</v>
      </c>
      <c r="J671" s="181">
        <v>8</v>
      </c>
      <c r="K671" s="38">
        <f ca="1">IF(I$671&gt;0,J671*100/I$671,0)</f>
        <v>200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209</v>
      </c>
      <c r="K672" s="38">
        <f t="shared" ref="K672:K675" ca="1" si="281">IF(I$669&gt;0,J672*100/I$669,0)</f>
        <v>418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209</v>
      </c>
      <c r="K673" s="38">
        <f t="shared" ca="1" si="281"/>
        <v>418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11040</v>
      </c>
      <c r="M685" s="191">
        <f t="shared" ca="1" si="282"/>
        <v>11040</v>
      </c>
      <c r="N685" s="191">
        <f t="shared" si="282"/>
        <v>4720</v>
      </c>
      <c r="O685" s="191">
        <f t="shared" ref="O685:O688" ca="1" si="283">IF(L685&gt;0,N685*100/L685,0)</f>
        <v>42.753623188405797</v>
      </c>
      <c r="P685" s="191">
        <f t="shared" ref="P685:P688" ca="1" si="284">IF(M685&gt;0,N685*100/M685,0)</f>
        <v>42.753623188405797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11040</v>
      </c>
      <c r="M687" s="45">
        <f t="shared" ca="1" si="285"/>
        <v>11040</v>
      </c>
      <c r="N687" s="45">
        <f t="shared" si="285"/>
        <v>4720</v>
      </c>
      <c r="O687" s="45">
        <f t="shared" ca="1" si="283"/>
        <v>42.753623188405797</v>
      </c>
      <c r="P687" s="45">
        <f t="shared" ca="1" si="284"/>
        <v>42.753623188405797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11040</v>
      </c>
      <c r="M688" s="38">
        <f t="shared" ca="1" si="286"/>
        <v>11040</v>
      </c>
      <c r="N688" s="38">
        <f t="shared" si="286"/>
        <v>4720</v>
      </c>
      <c r="O688" s="38">
        <f t="shared" ca="1" si="283"/>
        <v>42.753623188405797</v>
      </c>
      <c r="P688" s="38">
        <f t="shared" ca="1" si="284"/>
        <v>42.753623188405797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IFERROR(__xludf.DUMMYFUNCTION("IMPORTRANGE(""https://docs.google.com/spreadsheets/d/1QqKyyYR6Q21VydFLVH3TRQUabQu_ym0Zz7PgGX0-kHA/edit?usp=sharing"",""แผน!HW57"")"),11040)</f>
        <v>11040</v>
      </c>
      <c r="M690" s="45">
        <f ca="1">L690</f>
        <v>11040</v>
      </c>
      <c r="N690" s="45">
        <f>N691+N692+N693+N694</f>
        <v>4720</v>
      </c>
      <c r="O690" s="45">
        <f ca="1">IF(L690&gt;0,N690*100/L690,0)</f>
        <v>42.753623188405797</v>
      </c>
      <c r="P690" s="45">
        <f ca="1">IF(M690&gt;0,N690*100/M690,0)</f>
        <v>42.753623188405797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4720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IFERROR(__xludf.DUMMYFUNCTION("IMPORTRANGE(""https://docs.google.com/spreadsheets/d/1QqKyyYR6Q21VydFLVH3TRQUabQu_ym0Zz7PgGX0-kHA/edit?usp=sharing"",""แผน!IC57"")"),25)</f>
        <v>25</v>
      </c>
      <c r="J699" s="37">
        <f ca="1">IFERROR(__xludf.DUMMYFUNCTION("IMPORTRANGE(""https://docs.google.com/spreadsheets/d/1XWAQStnk-4SwqDmLtmXYiTMKHgktTP8We1SCoS47DrQ/edit?usp=sharing"",""จัดที่ดิน!BB57"")"),25.2)</f>
        <v>25.2</v>
      </c>
      <c r="K699" s="38">
        <f t="shared" ref="K699:K701" ca="1" si="290">IF(I699&gt;0,J699*100/I699,0)</f>
        <v>100.8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IFERROR(__xludf.DUMMYFUNCTION("IMPORTRANGE(""https://docs.google.com/spreadsheets/d/1QqKyyYR6Q21VydFLVH3TRQUabQu_ym0Zz7PgGX0-kHA/edit?usp=sharing"",""แผน!ID57"")"),5)</f>
        <v>5</v>
      </c>
      <c r="J700" s="37">
        <f ca="1">IFERROR(__xludf.DUMMYFUNCTION("IMPORTRANGE(""https://docs.google.com/spreadsheets/d/1XWAQStnk-4SwqDmLtmXYiTMKHgktTP8We1SCoS47DrQ/edit?usp=sharing"",""จัดที่ดิน!BD57"")"),1)</f>
        <v>1</v>
      </c>
      <c r="K700" s="38">
        <f t="shared" ca="1" si="290"/>
        <v>20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IFERROR(__xludf.DUMMYFUNCTION("IMPORTRANGE(""https://docs.google.com/spreadsheets/d/1QqKyyYR6Q21VydFLVH3TRQUabQu_ym0Zz7PgGX0-kHA/edit?usp=sharing"",""แผน!IE57"")"),70)</f>
        <v>70</v>
      </c>
      <c r="J701" s="190">
        <f>J704+J707</f>
        <v>129</v>
      </c>
      <c r="K701" s="191">
        <f t="shared" ca="1" si="290"/>
        <v>184.28571428571428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5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5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IFERROR(__xludf.DUMMYFUNCTION("IMPORTRANGE(""https://docs.google.com/spreadsheets/d/1QqKyyYR6Q21VydFLVH3TRQUabQu_ym0Zz7PgGX0-kHA/edit?usp=sharing"",""แผน!IF57"")"),40)</f>
        <v>40</v>
      </c>
      <c r="J704" s="181">
        <v>84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2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2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IFERROR(__xludf.DUMMYFUNCTION("IMPORTRANGE(""https://docs.google.com/spreadsheets/d/1QqKyyYR6Q21VydFLVH3TRQUabQu_ym0Zz7PgGX0-kHA/edit?usp=sharing"",""แผน!IG57"")"),30)</f>
        <v>30</v>
      </c>
      <c r="J707" s="181">
        <v>45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IFERROR(__xludf.DUMMYFUNCTION("IMPORTRANGE(""https://docs.google.com/spreadsheets/d/1QqKyyYR6Q21VydFLVH3TRQUabQu_ym0Zz7PgGX0-kHA/edit?usp=sharing"",""แผน!IH57"")"),60)</f>
        <v>60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IFERROR(__xludf.DUMMYFUNCTION("IMPORTRANGE(""https://docs.google.com/spreadsheets/d/1XWAQStnk-4SwqDmLtmXYiTMKHgktTP8We1SCoS47DrQ/edit?usp=sharing"",""จัดที่ดิน!BF57"")"),0)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IFERROR(__xludf.DUMMYFUNCTION("IMPORTRANGE(""https://docs.google.com/spreadsheets/d/1XWAQStnk-4SwqDmLtmXYiTMKHgktTP8We1SCoS47DrQ/edit?usp=sharing"",""จัดที่ดิน!BG57"")"),0)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IFERROR(__xludf.DUMMYFUNCTION("IMPORTRANGE(""https://docs.google.com/spreadsheets/d/1QqKyyYR6Q21VydFLVH3TRQUabQu_ym0Zz7PgGX0-kHA/edit?usp=sharing"",""แผน!II57"")"),50)</f>
        <v>50</v>
      </c>
      <c r="J720" s="37">
        <f ca="1">IFERROR(__xludf.DUMMYFUNCTION("IMPORTRANGE(""https://docs.google.com/spreadsheets/d/1XWAQStnk-4SwqDmLtmXYiTMKHgktTP8We1SCoS47DrQ/edit?usp=sharing"",""จัดที่ดิน!BH57"")"),0)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IFERROR(__xludf.DUMMYFUNCTION("IMPORTRANGE(""https://docs.google.com/spreadsheets/d/1QqKyyYR6Q21VydFLVH3TRQUabQu_ym0Zz7PgGX0-kHA/edit?usp=sharing"",""แผน!IJ57"")"),5)</f>
        <v>5</v>
      </c>
      <c r="J721" s="190">
        <f ca="1">J723+J726</f>
        <v>4</v>
      </c>
      <c r="K721" s="191">
        <f t="shared" ca="1" si="291"/>
        <v>80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IFERROR(__xludf.DUMMYFUNCTION("IMPORTRANGE(""https://docs.google.com/spreadsheets/d/1QqKyyYR6Q21VydFLVH3TRQUabQu_ym0Zz7PgGX0-kHA/edit?usp=sharing"",""แผน!IK57"")"),100)</f>
        <v>100</v>
      </c>
      <c r="J722" s="190">
        <f ca="1">J725+J728</f>
        <v>103.44</v>
      </c>
      <c r="K722" s="191">
        <f t="shared" ca="1" si="291"/>
        <v>103.44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IFERROR(__xludf.DUMMYFUNCTION("IMPORTRANGE(""https://docs.google.com/spreadsheets/d/1QqKyyYR6Q21VydFLVH3TRQUabQu_ym0Zz7PgGX0-kHA/edit?usp=sharing"",""แผน!IL57"")"),5)</f>
        <v>5</v>
      </c>
      <c r="J723" s="37">
        <f ca="1">IFERROR(__xludf.DUMMYFUNCTION("IMPORTRANGE(""https://docs.google.com/spreadsheets/d/1XWAQStnk-4SwqDmLtmXYiTMKHgktTP8We1SCoS47DrQ/edit?usp=sharing"",""จัดที่ดิน!BM57"")"),4)</f>
        <v>4</v>
      </c>
      <c r="K723" s="38">
        <f t="shared" ca="1" si="291"/>
        <v>80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IFERROR(__xludf.DUMMYFUNCTION("IMPORTRANGE(""https://docs.google.com/spreadsheets/d/1XWAQStnk-4SwqDmLtmXYiTMKHgktTP8We1SCoS47DrQ/edit?usp=sharing"",""จัดที่ดิน!BN57"")"),4)</f>
        <v>4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IFERROR(__xludf.DUMMYFUNCTION("IMPORTRANGE(""https://docs.google.com/spreadsheets/d/1QqKyyYR6Q21VydFLVH3TRQUabQu_ym0Zz7PgGX0-kHA/edit?usp=sharing"",""แผน!IM57"")"),100)</f>
        <v>100</v>
      </c>
      <c r="J725" s="37">
        <f ca="1">IFERROR(__xludf.DUMMYFUNCTION("IMPORTRANGE(""https://docs.google.com/spreadsheets/d/1XWAQStnk-4SwqDmLtmXYiTMKHgktTP8We1SCoS47DrQ/edit?usp=sharing"",""จัดที่ดิน!BO57"")"),103.44)</f>
        <v>103.44</v>
      </c>
      <c r="K725" s="38">
        <f t="shared" ref="K725:K726" ca="1" si="292">IF(I725&gt;0,J725*100/I725,0)</f>
        <v>103.44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IFERROR(__xludf.DUMMYFUNCTION("IMPORTRANGE(""https://docs.google.com/spreadsheets/d/1QqKyyYR6Q21VydFLVH3TRQUabQu_ym0Zz7PgGX0-kHA/edit?usp=sharing"",""แผน!IN57"")"),0)</f>
        <v>0</v>
      </c>
      <c r="J726" s="37">
        <f ca="1">IFERROR(__xludf.DUMMYFUNCTION("IMPORTRANGE(""https://docs.google.com/spreadsheets/d/1XWAQStnk-4SwqDmLtmXYiTMKHgktTP8We1SCoS47DrQ/edit?usp=sharing"",""จัดที่ดิน!BR57"")"),0)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IFERROR(__xludf.DUMMYFUNCTION("IMPORTRANGE(""https://docs.google.com/spreadsheets/d/1XWAQStnk-4SwqDmLtmXYiTMKHgktTP8We1SCoS47DrQ/edit?usp=sharing"",""จัดที่ดิน!BS57"")"),0)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IFERROR(__xludf.DUMMYFUNCTION("IMPORTRANGE(""https://docs.google.com/spreadsheets/d/1QqKyyYR6Q21VydFLVH3TRQUabQu_ym0Zz7PgGX0-kHA/edit?usp=sharing"",""แผน!IO57"")"),0)</f>
        <v>0</v>
      </c>
      <c r="J728" s="37">
        <f ca="1">IFERROR(__xludf.DUMMYFUNCTION("IMPORTRANGE(""https://docs.google.com/spreadsheets/d/1XWAQStnk-4SwqDmLtmXYiTMKHgktTP8We1SCoS47DrQ/edit?usp=sharing"",""จัดที่ดิน!BT57"")"),0)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IFERROR(__xludf.DUMMYFUNCTION("IMPORTRANGE(""https://docs.google.com/spreadsheets/d/1QqKyyYR6Q21VydFLVH3TRQUabQu_ym0Zz7PgGX0-kHA/edit?usp=sharing"",""แผน!IP57"")"),0)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IFERROR(__xludf.DUMMYFUNCTION("IMPORTRANGE(""https://docs.google.com/spreadsheets/d/1QqKyyYR6Q21VydFLVH3TRQUabQu_ym0Zz7PgGX0-kHA/edit?usp=sharing"",""แผน!JN57"")"),0)</f>
        <v>0</v>
      </c>
      <c r="J800" s="161">
        <f ca="1">IFERROR(__xludf.DUMMYFUNCTION("IMPORTRANGE(""https://docs.google.com/spreadsheets/d/1MaWodYyGHDf7siQLGxnXhG4mBNTNIuy296niS2xXulU/edit?usp=sharing"",""RTK!H57"")"),0)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IFERROR(__xludf.DUMMYFUNCTION("IMPORTRANGE(""https://docs.google.com/spreadsheets/d/1MaWodYyGHDf7siQLGxnXhG4mBNTNIuy296niS2xXulU/edit?usp=sharing"",""RTK!I57"")"),0)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37">
        <f ca="1">IFERROR(__xludf.DUMMYFUNCTION("IMPORTRANGE(""https://docs.google.com/spreadsheets/d/19vJNZY_5yjcGF2XGBMNZRCAIB0Kwfpjp8YEOfu-bneM/edit?usp=sharing"",""งานกองทุน!F57"")"),3071837.23)</f>
        <v>3071837.23</v>
      </c>
      <c r="K821" s="38">
        <f t="shared" ref="K821:K828" ca="1" si="335">IF(I821&gt;0,J821*100/I821,0)</f>
        <v>72.300268597961889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IFERROR(__xludf.DUMMYFUNCTION("IMPORTRANGE(""https://docs.google.com/spreadsheets/d/19vJNZY_5yjcGF2XGBMNZRCAIB0Kwfpjp8YEOfu-bneM/edit?usp=sharing"",""งานกองทุน!C57"")"),246)</f>
        <v>246</v>
      </c>
      <c r="J822" s="37">
        <f ca="1">IFERROR(__xludf.DUMMYFUNCTION("IMPORTRANGE(""https://docs.google.com/spreadsheets/d/19vJNZY_5yjcGF2XGBMNZRCAIB0Kwfpjp8YEOfu-bneM/edit?usp=sharing"",""งานกองทุน!E57"")"),187)</f>
        <v>187</v>
      </c>
      <c r="K822" s="38">
        <f t="shared" ca="1" si="335"/>
        <v>76.016260162601625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37">
        <f ca="1">IFERROR(__xludf.DUMMYFUNCTION("IMPORTRANGE(""https://docs.google.com/spreadsheets/d/19vJNZY_5yjcGF2XGBMNZRCAIB0Kwfpjp8YEOfu-bneM/edit?usp=sharing"",""งานกองทุน!K57"")"),729361.77)</f>
        <v>729361.77</v>
      </c>
      <c r="K823" s="38">
        <f t="shared" ca="1" si="335"/>
        <v>14.482983639574011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IFERROR(__xludf.DUMMYFUNCTION("IMPORTRANGE(""https://docs.google.com/spreadsheets/d/19vJNZY_5yjcGF2XGBMNZRCAIB0Kwfpjp8YEOfu-bneM/edit?usp=sharing"",""งานกองทุน!H57"")"),234)</f>
        <v>234</v>
      </c>
      <c r="J824" s="37">
        <f ca="1">IFERROR(__xludf.DUMMYFUNCTION("IMPORTRANGE(""https://docs.google.com/spreadsheets/d/19vJNZY_5yjcGF2XGBMNZRCAIB0Kwfpjp8YEOfu-bneM/edit?usp=sharing"",""งานกองทุน!J57"")"),107)</f>
        <v>107</v>
      </c>
      <c r="K824" s="38">
        <f t="shared" ca="1" si="335"/>
        <v>45.726495726495727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37">
        <f ca="1">IFERROR(__xludf.DUMMYFUNCTION("IMPORTRANGE(""https://docs.google.com/spreadsheets/d/19vJNZY_5yjcGF2XGBMNZRCAIB0Kwfpjp8YEOfu-bneM/edit?usp=sharing"",""งานกองทุน!P57"")"),2311246.63)</f>
        <v>2311246.63</v>
      </c>
      <c r="K825" s="38">
        <f t="shared" ca="1" si="335"/>
        <v>22.136451238240181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IFERROR(__xludf.DUMMYFUNCTION("IMPORTRANGE(""https://docs.google.com/spreadsheets/d/19vJNZY_5yjcGF2XGBMNZRCAIB0Kwfpjp8YEOfu-bneM/edit?usp=sharing"",""งานกองทุน!M57"")"),330)</f>
        <v>330</v>
      </c>
      <c r="J826" s="37">
        <f ca="1">IFERROR(__xludf.DUMMYFUNCTION("IMPORTRANGE(""https://docs.google.com/spreadsheets/d/19vJNZY_5yjcGF2XGBMNZRCAIB0Kwfpjp8YEOfu-bneM/edit?usp=sharing"",""งานกองทุน!O57"")"),178)</f>
        <v>178</v>
      </c>
      <c r="K826" s="38">
        <f t="shared" ca="1" si="335"/>
        <v>53.939393939393938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IFERROR(__xludf.DUMMYFUNCTION("IMPORTRANGE(""https://docs.google.com/spreadsheets/d/19vJNZY_5yjcGF2XGBMNZRCAIB0Kwfpjp8YEOfu-bneM/edit?usp=sharing"",""งานกองทุน!S57"")"),3350000)</f>
        <v>3350000</v>
      </c>
      <c r="J827" s="37">
        <f ca="1">IFERROR(__xludf.DUMMYFUNCTION("IMPORTRANGE(""https://docs.google.com/spreadsheets/d/19vJNZY_5yjcGF2XGBMNZRCAIB0Kwfpjp8YEOfu-bneM/edit?usp=sharing"",""งานกองทุน!U57"")"),3330000)</f>
        <v>3330000</v>
      </c>
      <c r="K827" s="38">
        <f t="shared" ca="1" si="335"/>
        <v>99.402985074626869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IFERROR(__xludf.DUMMYFUNCTION("IMPORTRANGE(""https://docs.google.com/spreadsheets/d/19vJNZY_5yjcGF2XGBMNZRCAIB0Kwfpjp8YEOfu-bneM/edit?usp=sharing"",""งานกองทุน!R57"")"),134)</f>
        <v>134</v>
      </c>
      <c r="J828" s="365">
        <f ca="1">IFERROR(__xludf.DUMMYFUNCTION("IMPORTRANGE(""https://docs.google.com/spreadsheets/d/19vJNZY_5yjcGF2XGBMNZRCAIB0Kwfpjp8YEOfu-bneM/edit?usp=sharing"",""งานกองทุน!T57"")"),81)</f>
        <v>81</v>
      </c>
      <c r="K828" s="472">
        <f t="shared" ca="1" si="335"/>
        <v>60.447761194029852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  <row r="829" spans="1:26" ht="19">
      <c r="A829" s="631"/>
      <c r="B829" s="631"/>
      <c r="C829" s="631"/>
      <c r="D829" s="832"/>
      <c r="E829" s="631"/>
      <c r="F829" s="631"/>
      <c r="G829" s="631"/>
      <c r="H829" s="833"/>
      <c r="I829" s="834"/>
      <c r="J829" s="834"/>
      <c r="K829" s="835"/>
      <c r="L829" s="835"/>
      <c r="M829" s="835"/>
      <c r="N829" s="835"/>
      <c r="O829" s="835"/>
      <c r="P829" s="835"/>
      <c r="Q829" s="540"/>
      <c r="R829" s="540"/>
      <c r="S829" s="540"/>
      <c r="T829" s="540"/>
      <c r="U829" s="540"/>
      <c r="V829" s="540"/>
      <c r="W829" s="540"/>
      <c r="X829" s="540"/>
      <c r="Y829" s="540"/>
      <c r="Z829" s="540"/>
    </row>
    <row r="830" spans="1:26" ht="19">
      <c r="A830" s="631"/>
      <c r="B830" s="631"/>
      <c r="C830" s="631"/>
      <c r="D830" s="832"/>
      <c r="E830" s="631"/>
      <c r="F830" s="631"/>
      <c r="G830" s="631"/>
      <c r="H830" s="833"/>
      <c r="I830" s="834"/>
      <c r="J830" s="834"/>
      <c r="K830" s="835"/>
      <c r="L830" s="835"/>
      <c r="M830" s="835"/>
      <c r="N830" s="835"/>
      <c r="O830" s="835"/>
      <c r="P830" s="835"/>
      <c r="Q830" s="540"/>
      <c r="R830" s="540"/>
      <c r="S830" s="540"/>
      <c r="T830" s="540"/>
      <c r="U830" s="540"/>
      <c r="V830" s="540"/>
      <c r="W830" s="540"/>
      <c r="X830" s="540"/>
      <c r="Y830" s="540"/>
      <c r="Z830" s="540"/>
    </row>
    <row r="831" spans="1:26" ht="19">
      <c r="A831" s="631"/>
      <c r="B831" s="631"/>
      <c r="C831" s="631"/>
      <c r="D831" s="832"/>
      <c r="E831" s="631"/>
      <c r="F831" s="631"/>
      <c r="G831" s="631"/>
      <c r="H831" s="833"/>
      <c r="I831" s="834"/>
      <c r="J831" s="834"/>
      <c r="K831" s="835"/>
      <c r="L831" s="835"/>
      <c r="M831" s="835"/>
      <c r="N831" s="835"/>
      <c r="O831" s="835"/>
      <c r="P831" s="835"/>
      <c r="Q831" s="540"/>
      <c r="R831" s="540"/>
      <c r="S831" s="540"/>
      <c r="T831" s="540"/>
      <c r="U831" s="540"/>
      <c r="V831" s="540"/>
      <c r="W831" s="540"/>
      <c r="X831" s="540"/>
      <c r="Y831" s="540"/>
      <c r="Z831" s="540"/>
    </row>
    <row r="832" spans="1:26" ht="19">
      <c r="A832" s="631"/>
      <c r="B832" s="631"/>
      <c r="C832" s="631"/>
      <c r="D832" s="832"/>
      <c r="E832" s="631"/>
      <c r="F832" s="631"/>
      <c r="G832" s="631"/>
      <c r="H832" s="833"/>
      <c r="I832" s="834"/>
      <c r="J832" s="834"/>
      <c r="K832" s="835"/>
      <c r="L832" s="835"/>
      <c r="M832" s="835"/>
      <c r="N832" s="835"/>
      <c r="O832" s="835"/>
      <c r="P832" s="835"/>
      <c r="Q832" s="540"/>
      <c r="R832" s="540"/>
      <c r="S832" s="540"/>
      <c r="T832" s="540"/>
      <c r="U832" s="540"/>
      <c r="V832" s="540"/>
      <c r="W832" s="540"/>
      <c r="X832" s="540"/>
      <c r="Y832" s="540"/>
      <c r="Z832" s="540"/>
    </row>
    <row r="833" spans="1:26" ht="19">
      <c r="A833" s="631"/>
      <c r="B833" s="631"/>
      <c r="C833" s="631"/>
      <c r="D833" s="832"/>
      <c r="E833" s="631"/>
      <c r="F833" s="631"/>
      <c r="G833" s="631"/>
      <c r="H833" s="833"/>
      <c r="I833" s="834"/>
      <c r="J833" s="834"/>
      <c r="K833" s="835"/>
      <c r="L833" s="835"/>
      <c r="M833" s="835"/>
      <c r="N833" s="835"/>
      <c r="O833" s="835"/>
      <c r="P833" s="835"/>
      <c r="Q833" s="540"/>
      <c r="R833" s="540"/>
      <c r="S833" s="540"/>
      <c r="T833" s="540"/>
      <c r="U833" s="540"/>
      <c r="V833" s="540"/>
      <c r="W833" s="540"/>
      <c r="X833" s="540"/>
      <c r="Y833" s="540"/>
      <c r="Z833" s="540"/>
    </row>
    <row r="834" spans="1:26" ht="19">
      <c r="A834" s="631"/>
      <c r="B834" s="631"/>
      <c r="C834" s="631"/>
      <c r="D834" s="832"/>
      <c r="E834" s="631"/>
      <c r="F834" s="631"/>
      <c r="G834" s="631"/>
      <c r="H834" s="833"/>
      <c r="I834" s="834"/>
      <c r="J834" s="834"/>
      <c r="K834" s="835"/>
      <c r="L834" s="835"/>
      <c r="M834" s="835"/>
      <c r="N834" s="835"/>
      <c r="O834" s="835"/>
      <c r="P834" s="835"/>
      <c r="Q834" s="540"/>
      <c r="R834" s="540"/>
      <c r="S834" s="540"/>
      <c r="T834" s="540"/>
      <c r="U834" s="540"/>
      <c r="V834" s="540"/>
      <c r="W834" s="540"/>
      <c r="X834" s="540"/>
      <c r="Y834" s="540"/>
      <c r="Z834" s="540"/>
    </row>
    <row r="835" spans="1:26" ht="19">
      <c r="A835" s="631"/>
      <c r="B835" s="631"/>
      <c r="C835" s="631"/>
      <c r="D835" s="832"/>
      <c r="E835" s="631"/>
      <c r="F835" s="631"/>
      <c r="G835" s="631"/>
      <c r="H835" s="833"/>
      <c r="I835" s="834"/>
      <c r="J835" s="834"/>
      <c r="K835" s="835"/>
      <c r="L835" s="835"/>
      <c r="M835" s="835"/>
      <c r="N835" s="835"/>
      <c r="O835" s="835"/>
      <c r="P835" s="835"/>
      <c r="Q835" s="540"/>
      <c r="R835" s="540"/>
      <c r="S835" s="540"/>
      <c r="T835" s="540"/>
      <c r="U835" s="540"/>
      <c r="V835" s="540"/>
      <c r="W835" s="540"/>
      <c r="X835" s="540"/>
      <c r="Y835" s="540"/>
      <c r="Z835" s="540"/>
    </row>
    <row r="836" spans="1:26" ht="19">
      <c r="A836" s="631"/>
      <c r="B836" s="631"/>
      <c r="C836" s="631"/>
      <c r="D836" s="832"/>
      <c r="E836" s="631"/>
      <c r="F836" s="631"/>
      <c r="G836" s="631"/>
      <c r="H836" s="833"/>
      <c r="I836" s="834"/>
      <c r="J836" s="834"/>
      <c r="K836" s="835"/>
      <c r="L836" s="835"/>
      <c r="M836" s="835"/>
      <c r="N836" s="835"/>
      <c r="O836" s="835"/>
      <c r="P836" s="835"/>
      <c r="Q836" s="540"/>
      <c r="R836" s="540"/>
      <c r="S836" s="540"/>
      <c r="T836" s="540"/>
      <c r="U836" s="540"/>
      <c r="V836" s="540"/>
      <c r="W836" s="540"/>
      <c r="X836" s="540"/>
      <c r="Y836" s="540"/>
      <c r="Z836" s="540"/>
    </row>
    <row r="837" spans="1:26" ht="19">
      <c r="A837" s="631"/>
      <c r="B837" s="631"/>
      <c r="C837" s="631"/>
      <c r="D837" s="832"/>
      <c r="E837" s="631"/>
      <c r="F837" s="631"/>
      <c r="G837" s="631"/>
      <c r="H837" s="833"/>
      <c r="I837" s="834"/>
      <c r="J837" s="834"/>
      <c r="K837" s="835"/>
      <c r="L837" s="835"/>
      <c r="M837" s="835"/>
      <c r="N837" s="835"/>
      <c r="O837" s="835"/>
      <c r="P837" s="835"/>
      <c r="Q837" s="540"/>
      <c r="R837" s="540"/>
      <c r="S837" s="540"/>
      <c r="T837" s="540"/>
      <c r="U837" s="540"/>
      <c r="V837" s="540"/>
      <c r="W837" s="540"/>
      <c r="X837" s="540"/>
      <c r="Y837" s="540"/>
      <c r="Z837" s="540"/>
    </row>
    <row r="838" spans="1:26" ht="19">
      <c r="A838" s="631"/>
      <c r="B838" s="631"/>
      <c r="C838" s="631"/>
      <c r="D838" s="832"/>
      <c r="E838" s="631"/>
      <c r="F838" s="631"/>
      <c r="G838" s="631"/>
      <c r="H838" s="833"/>
      <c r="I838" s="834"/>
      <c r="J838" s="834"/>
      <c r="K838" s="835"/>
      <c r="L838" s="835"/>
      <c r="M838" s="835"/>
      <c r="N838" s="835"/>
      <c r="O838" s="835"/>
      <c r="P838" s="835"/>
      <c r="Q838" s="540"/>
      <c r="R838" s="540"/>
      <c r="S838" s="540"/>
      <c r="T838" s="540"/>
      <c r="U838" s="540"/>
      <c r="V838" s="540"/>
      <c r="W838" s="540"/>
      <c r="X838" s="540"/>
      <c r="Y838" s="540"/>
      <c r="Z838" s="540"/>
    </row>
    <row r="839" spans="1:26" ht="19">
      <c r="A839" s="631"/>
      <c r="B839" s="631"/>
      <c r="C839" s="631"/>
      <c r="D839" s="832"/>
      <c r="E839" s="631"/>
      <c r="F839" s="631"/>
      <c r="G839" s="631"/>
      <c r="H839" s="833"/>
      <c r="I839" s="834"/>
      <c r="J839" s="834"/>
      <c r="K839" s="835"/>
      <c r="L839" s="835"/>
      <c r="M839" s="835"/>
      <c r="N839" s="835"/>
      <c r="O839" s="835"/>
      <c r="P839" s="835"/>
      <c r="Q839" s="540"/>
      <c r="R839" s="540"/>
      <c r="S839" s="540"/>
      <c r="T839" s="540"/>
      <c r="U839" s="540"/>
      <c r="V839" s="540"/>
      <c r="W839" s="540"/>
      <c r="X839" s="540"/>
      <c r="Y839" s="540"/>
      <c r="Z839" s="540"/>
    </row>
    <row r="840" spans="1:26" ht="19">
      <c r="A840" s="631"/>
      <c r="B840" s="631"/>
      <c r="C840" s="631"/>
      <c r="D840" s="832"/>
      <c r="E840" s="631"/>
      <c r="F840" s="631"/>
      <c r="G840" s="631"/>
      <c r="H840" s="833"/>
      <c r="I840" s="834"/>
      <c r="J840" s="834"/>
      <c r="K840" s="835"/>
      <c r="L840" s="835"/>
      <c r="M840" s="835"/>
      <c r="N840" s="835"/>
      <c r="O840" s="835"/>
      <c r="P840" s="835"/>
      <c r="Q840" s="540"/>
      <c r="R840" s="540"/>
      <c r="S840" s="540"/>
      <c r="T840" s="540"/>
      <c r="U840" s="540"/>
      <c r="V840" s="540"/>
      <c r="W840" s="540"/>
      <c r="X840" s="540"/>
      <c r="Y840" s="540"/>
      <c r="Z840" s="540"/>
    </row>
    <row r="841" spans="1:26" ht="19">
      <c r="A841" s="631"/>
      <c r="B841" s="631"/>
      <c r="C841" s="631"/>
      <c r="D841" s="832"/>
      <c r="E841" s="631"/>
      <c r="F841" s="631"/>
      <c r="G841" s="631"/>
      <c r="H841" s="833"/>
      <c r="I841" s="834"/>
      <c r="J841" s="834"/>
      <c r="K841" s="835"/>
      <c r="L841" s="835"/>
      <c r="M841" s="835"/>
      <c r="N841" s="835"/>
      <c r="O841" s="835"/>
      <c r="P841" s="835"/>
      <c r="Q841" s="540"/>
      <c r="R841" s="540"/>
      <c r="S841" s="540"/>
      <c r="T841" s="540"/>
      <c r="U841" s="540"/>
      <c r="V841" s="540"/>
      <c r="W841" s="540"/>
      <c r="X841" s="540"/>
      <c r="Y841" s="540"/>
      <c r="Z841" s="540"/>
    </row>
    <row r="842" spans="1:26" ht="19">
      <c r="A842" s="631"/>
      <c r="B842" s="631"/>
      <c r="C842" s="631"/>
      <c r="D842" s="832"/>
      <c r="E842" s="631"/>
      <c r="F842" s="631"/>
      <c r="G842" s="631"/>
      <c r="H842" s="833"/>
      <c r="I842" s="834"/>
      <c r="J842" s="834"/>
      <c r="K842" s="835"/>
      <c r="L842" s="835"/>
      <c r="M842" s="835"/>
      <c r="N842" s="835"/>
      <c r="O842" s="835"/>
      <c r="P842" s="835"/>
      <c r="Q842" s="540"/>
      <c r="R842" s="540"/>
      <c r="S842" s="540"/>
      <c r="T842" s="540"/>
      <c r="U842" s="540"/>
      <c r="V842" s="540"/>
      <c r="W842" s="540"/>
      <c r="X842" s="540"/>
      <c r="Y842" s="540"/>
      <c r="Z842" s="540"/>
    </row>
    <row r="843" spans="1:26" ht="19">
      <c r="A843" s="631"/>
      <c r="B843" s="631"/>
      <c r="C843" s="631"/>
      <c r="D843" s="832"/>
      <c r="E843" s="631"/>
      <c r="F843" s="631"/>
      <c r="G843" s="631"/>
      <c r="H843" s="833"/>
      <c r="I843" s="834"/>
      <c r="J843" s="834"/>
      <c r="K843" s="835"/>
      <c r="L843" s="835"/>
      <c r="M843" s="835"/>
      <c r="N843" s="835"/>
      <c r="O843" s="835"/>
      <c r="P843" s="835"/>
      <c r="Q843" s="540"/>
      <c r="R843" s="540"/>
      <c r="S843" s="540"/>
      <c r="T843" s="540"/>
      <c r="U843" s="540"/>
      <c r="V843" s="540"/>
      <c r="W843" s="540"/>
      <c r="X843" s="540"/>
      <c r="Y843" s="540"/>
      <c r="Z843" s="540"/>
    </row>
    <row r="844" spans="1:26" ht="19">
      <c r="A844" s="631"/>
      <c r="B844" s="631"/>
      <c r="C844" s="631"/>
      <c r="D844" s="832"/>
      <c r="E844" s="631"/>
      <c r="F844" s="631"/>
      <c r="G844" s="631"/>
      <c r="H844" s="833"/>
      <c r="I844" s="834"/>
      <c r="J844" s="834"/>
      <c r="K844" s="835"/>
      <c r="L844" s="835"/>
      <c r="M844" s="835"/>
      <c r="N844" s="835"/>
      <c r="O844" s="835"/>
      <c r="P844" s="835"/>
      <c r="Q844" s="540"/>
      <c r="R844" s="540"/>
      <c r="S844" s="540"/>
      <c r="T844" s="540"/>
      <c r="U844" s="540"/>
      <c r="V844" s="540"/>
      <c r="W844" s="540"/>
      <c r="X844" s="540"/>
      <c r="Y844" s="540"/>
      <c r="Z844" s="540"/>
    </row>
    <row r="845" spans="1:26" ht="19">
      <c r="A845" s="631"/>
      <c r="B845" s="631"/>
      <c r="C845" s="631"/>
      <c r="D845" s="832"/>
      <c r="E845" s="631"/>
      <c r="F845" s="631"/>
      <c r="G845" s="631"/>
      <c r="H845" s="833"/>
      <c r="I845" s="834"/>
      <c r="J845" s="834"/>
      <c r="K845" s="835"/>
      <c r="L845" s="835"/>
      <c r="M845" s="835"/>
      <c r="N845" s="835"/>
      <c r="O845" s="835"/>
      <c r="P845" s="835"/>
      <c r="Q845" s="540"/>
      <c r="R845" s="540"/>
      <c r="S845" s="540"/>
      <c r="T845" s="540"/>
      <c r="U845" s="540"/>
      <c r="V845" s="540"/>
      <c r="W845" s="540"/>
      <c r="X845" s="540"/>
      <c r="Y845" s="540"/>
      <c r="Z845" s="540"/>
    </row>
    <row r="846" spans="1:26" ht="19">
      <c r="A846" s="631"/>
      <c r="B846" s="631"/>
      <c r="C846" s="631"/>
      <c r="D846" s="832"/>
      <c r="E846" s="631"/>
      <c r="F846" s="631"/>
      <c r="G846" s="631"/>
      <c r="H846" s="833"/>
      <c r="I846" s="834"/>
      <c r="J846" s="834"/>
      <c r="K846" s="835"/>
      <c r="L846" s="835"/>
      <c r="M846" s="835"/>
      <c r="N846" s="835"/>
      <c r="O846" s="835"/>
      <c r="P846" s="835"/>
      <c r="Q846" s="540"/>
      <c r="R846" s="540"/>
      <c r="S846" s="540"/>
      <c r="T846" s="540"/>
      <c r="U846" s="540"/>
      <c r="V846" s="540"/>
      <c r="W846" s="540"/>
      <c r="X846" s="540"/>
      <c r="Y846" s="540"/>
      <c r="Z846" s="540"/>
    </row>
    <row r="847" spans="1:26" ht="19">
      <c r="A847" s="631"/>
      <c r="B847" s="631"/>
      <c r="C847" s="631"/>
      <c r="D847" s="832"/>
      <c r="E847" s="631"/>
      <c r="F847" s="631"/>
      <c r="G847" s="631"/>
      <c r="H847" s="833"/>
      <c r="I847" s="834"/>
      <c r="J847" s="834"/>
      <c r="K847" s="835"/>
      <c r="L847" s="835"/>
      <c r="M847" s="835"/>
      <c r="N847" s="835"/>
      <c r="O847" s="835"/>
      <c r="P847" s="835"/>
      <c r="Q847" s="540"/>
      <c r="R847" s="540"/>
      <c r="S847" s="540"/>
      <c r="T847" s="540"/>
      <c r="U847" s="540"/>
      <c r="V847" s="540"/>
      <c r="W847" s="540"/>
      <c r="X847" s="540"/>
      <c r="Y847" s="540"/>
      <c r="Z847" s="540"/>
    </row>
    <row r="848" spans="1:26" ht="19">
      <c r="A848" s="631"/>
      <c r="B848" s="631"/>
      <c r="C848" s="631"/>
      <c r="D848" s="832"/>
      <c r="E848" s="631"/>
      <c r="F848" s="631"/>
      <c r="G848" s="631"/>
      <c r="H848" s="833"/>
      <c r="I848" s="834"/>
      <c r="J848" s="834"/>
      <c r="K848" s="835"/>
      <c r="L848" s="835"/>
      <c r="M848" s="835"/>
      <c r="N848" s="835"/>
      <c r="O848" s="835"/>
      <c r="P848" s="835"/>
      <c r="Q848" s="540"/>
      <c r="R848" s="540"/>
      <c r="S848" s="540"/>
      <c r="T848" s="540"/>
      <c r="U848" s="540"/>
      <c r="V848" s="540"/>
      <c r="W848" s="540"/>
      <c r="X848" s="540"/>
      <c r="Y848" s="540"/>
      <c r="Z848" s="540"/>
    </row>
    <row r="849" spans="1:26" ht="19">
      <c r="A849" s="631"/>
      <c r="B849" s="631"/>
      <c r="C849" s="631"/>
      <c r="D849" s="832"/>
      <c r="E849" s="631"/>
      <c r="F849" s="631"/>
      <c r="G849" s="631"/>
      <c r="H849" s="833"/>
      <c r="I849" s="834"/>
      <c r="J849" s="834"/>
      <c r="K849" s="835"/>
      <c r="L849" s="835"/>
      <c r="M849" s="835"/>
      <c r="N849" s="835"/>
      <c r="O849" s="835"/>
      <c r="P849" s="835"/>
      <c r="Q849" s="540"/>
      <c r="R849" s="540"/>
      <c r="S849" s="540"/>
      <c r="T849" s="540"/>
      <c r="U849" s="540"/>
      <c r="V849" s="540"/>
      <c r="W849" s="540"/>
      <c r="X849" s="540"/>
      <c r="Y849" s="540"/>
      <c r="Z849" s="540"/>
    </row>
    <row r="850" spans="1:26" ht="19">
      <c r="A850" s="631"/>
      <c r="B850" s="631"/>
      <c r="C850" s="631"/>
      <c r="D850" s="832"/>
      <c r="E850" s="631"/>
      <c r="F850" s="631"/>
      <c r="G850" s="631"/>
      <c r="H850" s="833"/>
      <c r="I850" s="834"/>
      <c r="J850" s="834"/>
      <c r="K850" s="835"/>
      <c r="L850" s="835"/>
      <c r="M850" s="835"/>
      <c r="N850" s="835"/>
      <c r="O850" s="835"/>
      <c r="P850" s="835"/>
      <c r="Q850" s="540"/>
      <c r="R850" s="540"/>
      <c r="S850" s="540"/>
      <c r="T850" s="540"/>
      <c r="U850" s="540"/>
      <c r="V850" s="540"/>
      <c r="W850" s="540"/>
      <c r="X850" s="540"/>
      <c r="Y850" s="540"/>
      <c r="Z850" s="540"/>
    </row>
    <row r="851" spans="1:26" ht="19">
      <c r="A851" s="631"/>
      <c r="B851" s="631"/>
      <c r="C851" s="631"/>
      <c r="D851" s="832"/>
      <c r="E851" s="631"/>
      <c r="F851" s="631"/>
      <c r="G851" s="631"/>
      <c r="H851" s="833"/>
      <c r="I851" s="834"/>
      <c r="J851" s="834"/>
      <c r="K851" s="835"/>
      <c r="L851" s="835"/>
      <c r="M851" s="835"/>
      <c r="N851" s="835"/>
      <c r="O851" s="835"/>
      <c r="P851" s="835"/>
      <c r="Q851" s="540"/>
      <c r="R851" s="540"/>
      <c r="S851" s="540"/>
      <c r="T851" s="540"/>
      <c r="U851" s="540"/>
      <c r="V851" s="540"/>
      <c r="W851" s="540"/>
      <c r="X851" s="540"/>
      <c r="Y851" s="540"/>
      <c r="Z851" s="540"/>
    </row>
    <row r="852" spans="1:26" ht="19">
      <c r="A852" s="631"/>
      <c r="B852" s="631"/>
      <c r="C852" s="631"/>
      <c r="D852" s="832"/>
      <c r="E852" s="631"/>
      <c r="F852" s="631"/>
      <c r="G852" s="631"/>
      <c r="H852" s="833"/>
      <c r="I852" s="834"/>
      <c r="J852" s="834"/>
      <c r="K852" s="835"/>
      <c r="L852" s="835"/>
      <c r="M852" s="835"/>
      <c r="N852" s="835"/>
      <c r="O852" s="835"/>
      <c r="P852" s="835"/>
      <c r="Q852" s="540"/>
      <c r="R852" s="540"/>
      <c r="S852" s="540"/>
      <c r="T852" s="540"/>
      <c r="U852" s="540"/>
      <c r="V852" s="540"/>
      <c r="W852" s="540"/>
      <c r="X852" s="540"/>
      <c r="Y852" s="540"/>
      <c r="Z852" s="540"/>
    </row>
    <row r="853" spans="1:26" ht="19">
      <c r="A853" s="631"/>
      <c r="B853" s="631"/>
      <c r="C853" s="631"/>
      <c r="D853" s="832"/>
      <c r="E853" s="631"/>
      <c r="F853" s="631"/>
      <c r="G853" s="631"/>
      <c r="H853" s="833"/>
      <c r="I853" s="834"/>
      <c r="J853" s="834"/>
      <c r="K853" s="835"/>
      <c r="L853" s="835"/>
      <c r="M853" s="835"/>
      <c r="N853" s="835"/>
      <c r="O853" s="835"/>
      <c r="P853" s="835"/>
      <c r="Q853" s="540"/>
      <c r="R853" s="540"/>
      <c r="S853" s="540"/>
      <c r="T853" s="540"/>
      <c r="U853" s="540"/>
      <c r="V853" s="540"/>
      <c r="W853" s="540"/>
      <c r="X853" s="540"/>
      <c r="Y853" s="540"/>
      <c r="Z853" s="540"/>
    </row>
    <row r="854" spans="1:26" ht="19">
      <c r="A854" s="631"/>
      <c r="B854" s="631"/>
      <c r="C854" s="631"/>
      <c r="D854" s="832"/>
      <c r="E854" s="631"/>
      <c r="F854" s="631"/>
      <c r="G854" s="631"/>
      <c r="H854" s="833"/>
      <c r="I854" s="834"/>
      <c r="J854" s="834"/>
      <c r="K854" s="835"/>
      <c r="L854" s="835"/>
      <c r="M854" s="835"/>
      <c r="N854" s="835"/>
      <c r="O854" s="835"/>
      <c r="P854" s="835"/>
      <c r="Q854" s="540"/>
      <c r="R854" s="540"/>
      <c r="S854" s="540"/>
      <c r="T854" s="540"/>
      <c r="U854" s="540"/>
      <c r="V854" s="540"/>
      <c r="W854" s="540"/>
      <c r="X854" s="540"/>
      <c r="Y854" s="540"/>
      <c r="Z854" s="540"/>
    </row>
    <row r="855" spans="1:26" ht="19">
      <c r="A855" s="631"/>
      <c r="B855" s="631"/>
      <c r="C855" s="631"/>
      <c r="D855" s="832"/>
      <c r="E855" s="631"/>
      <c r="F855" s="631"/>
      <c r="G855" s="631"/>
      <c r="H855" s="833"/>
      <c r="I855" s="834"/>
      <c r="J855" s="834"/>
      <c r="K855" s="835"/>
      <c r="L855" s="835"/>
      <c r="M855" s="835"/>
      <c r="N855" s="835"/>
      <c r="O855" s="835"/>
      <c r="P855" s="835"/>
      <c r="Q855" s="540"/>
      <c r="R855" s="540"/>
      <c r="S855" s="540"/>
      <c r="T855" s="540"/>
      <c r="U855" s="540"/>
      <c r="V855" s="540"/>
      <c r="W855" s="540"/>
      <c r="X855" s="540"/>
      <c r="Y855" s="540"/>
      <c r="Z855" s="540"/>
    </row>
    <row r="856" spans="1:26" ht="19">
      <c r="A856" s="631"/>
      <c r="B856" s="631"/>
      <c r="C856" s="631"/>
      <c r="D856" s="832"/>
      <c r="E856" s="631"/>
      <c r="F856" s="631"/>
      <c r="G856" s="631"/>
      <c r="H856" s="833"/>
      <c r="I856" s="834"/>
      <c r="J856" s="834"/>
      <c r="K856" s="835"/>
      <c r="L856" s="835"/>
      <c r="M856" s="835"/>
      <c r="N856" s="835"/>
      <c r="O856" s="835"/>
      <c r="P856" s="835"/>
      <c r="Q856" s="540"/>
      <c r="R856" s="540"/>
      <c r="S856" s="540"/>
      <c r="T856" s="540"/>
      <c r="U856" s="540"/>
      <c r="V856" s="540"/>
      <c r="W856" s="540"/>
      <c r="X856" s="540"/>
      <c r="Y856" s="540"/>
      <c r="Z856" s="540"/>
    </row>
    <row r="857" spans="1:26" ht="19">
      <c r="A857" s="631"/>
      <c r="B857" s="631"/>
      <c r="C857" s="631"/>
      <c r="D857" s="832"/>
      <c r="E857" s="631"/>
      <c r="F857" s="631"/>
      <c r="G857" s="631"/>
      <c r="H857" s="833"/>
      <c r="I857" s="834"/>
      <c r="J857" s="834"/>
      <c r="K857" s="835"/>
      <c r="L857" s="835"/>
      <c r="M857" s="835"/>
      <c r="N857" s="835"/>
      <c r="O857" s="835"/>
      <c r="P857" s="835"/>
      <c r="Q857" s="540"/>
      <c r="R857" s="540"/>
      <c r="S857" s="540"/>
      <c r="T857" s="540"/>
      <c r="U857" s="540"/>
      <c r="V857" s="540"/>
      <c r="W857" s="540"/>
      <c r="X857" s="540"/>
      <c r="Y857" s="540"/>
      <c r="Z857" s="540"/>
    </row>
    <row r="858" spans="1:26" ht="19">
      <c r="A858" s="631"/>
      <c r="B858" s="631"/>
      <c r="C858" s="631"/>
      <c r="D858" s="832"/>
      <c r="E858" s="631"/>
      <c r="F858" s="631"/>
      <c r="G858" s="631"/>
      <c r="H858" s="833"/>
      <c r="I858" s="834"/>
      <c r="J858" s="834"/>
      <c r="K858" s="835"/>
      <c r="L858" s="835"/>
      <c r="M858" s="835"/>
      <c r="N858" s="835"/>
      <c r="O858" s="835"/>
      <c r="P858" s="835"/>
      <c r="Q858" s="540"/>
      <c r="R858" s="540"/>
      <c r="S858" s="540"/>
      <c r="T858" s="540"/>
      <c r="U858" s="540"/>
      <c r="V858" s="540"/>
      <c r="W858" s="540"/>
      <c r="X858" s="540"/>
      <c r="Y858" s="540"/>
      <c r="Z858" s="540"/>
    </row>
    <row r="859" spans="1:26" ht="19">
      <c r="A859" s="631"/>
      <c r="B859" s="631"/>
      <c r="C859" s="631"/>
      <c r="D859" s="832"/>
      <c r="E859" s="631"/>
      <c r="F859" s="631"/>
      <c r="G859" s="631"/>
      <c r="H859" s="833"/>
      <c r="I859" s="834"/>
      <c r="J859" s="834"/>
      <c r="K859" s="835"/>
      <c r="L859" s="835"/>
      <c r="M859" s="835"/>
      <c r="N859" s="835"/>
      <c r="O859" s="835"/>
      <c r="P859" s="835"/>
      <c r="Q859" s="540"/>
      <c r="R859" s="540"/>
      <c r="S859" s="540"/>
      <c r="T859" s="540"/>
      <c r="U859" s="540"/>
      <c r="V859" s="540"/>
      <c r="W859" s="540"/>
      <c r="X859" s="540"/>
      <c r="Y859" s="540"/>
      <c r="Z859" s="540"/>
    </row>
    <row r="860" spans="1:26" ht="19">
      <c r="A860" s="631"/>
      <c r="B860" s="631"/>
      <c r="C860" s="631"/>
      <c r="D860" s="832"/>
      <c r="E860" s="631"/>
      <c r="F860" s="631"/>
      <c r="G860" s="631"/>
      <c r="H860" s="833"/>
      <c r="I860" s="834"/>
      <c r="J860" s="834"/>
      <c r="K860" s="835"/>
      <c r="L860" s="835"/>
      <c r="M860" s="835"/>
      <c r="N860" s="835"/>
      <c r="O860" s="835"/>
      <c r="P860" s="835"/>
      <c r="Q860" s="540"/>
      <c r="R860" s="540"/>
      <c r="S860" s="540"/>
      <c r="T860" s="540"/>
      <c r="U860" s="540"/>
      <c r="V860" s="540"/>
      <c r="W860" s="540"/>
      <c r="X860" s="540"/>
      <c r="Y860" s="540"/>
      <c r="Z860" s="540"/>
    </row>
    <row r="861" spans="1:26" ht="19">
      <c r="A861" s="631"/>
      <c r="B861" s="631"/>
      <c r="C861" s="631"/>
      <c r="D861" s="832"/>
      <c r="E861" s="631"/>
      <c r="F861" s="631"/>
      <c r="G861" s="631"/>
      <c r="H861" s="833"/>
      <c r="I861" s="834"/>
      <c r="J861" s="834"/>
      <c r="K861" s="835"/>
      <c r="L861" s="835"/>
      <c r="M861" s="835"/>
      <c r="N861" s="835"/>
      <c r="O861" s="835"/>
      <c r="P861" s="835"/>
      <c r="Q861" s="540"/>
      <c r="R861" s="540"/>
      <c r="S861" s="540"/>
      <c r="T861" s="540"/>
      <c r="U861" s="540"/>
      <c r="V861" s="540"/>
      <c r="W861" s="540"/>
      <c r="X861" s="540"/>
      <c r="Y861" s="540"/>
      <c r="Z861" s="540"/>
    </row>
    <row r="862" spans="1:26" ht="19">
      <c r="A862" s="631"/>
      <c r="B862" s="631"/>
      <c r="C862" s="631"/>
      <c r="D862" s="832"/>
      <c r="E862" s="631"/>
      <c r="F862" s="631"/>
      <c r="G862" s="631"/>
      <c r="H862" s="833"/>
      <c r="I862" s="834"/>
      <c r="J862" s="834"/>
      <c r="K862" s="835"/>
      <c r="L862" s="835"/>
      <c r="M862" s="835"/>
      <c r="N862" s="835"/>
      <c r="O862" s="835"/>
      <c r="P862" s="835"/>
      <c r="Q862" s="540"/>
      <c r="R862" s="540"/>
      <c r="S862" s="540"/>
      <c r="T862" s="540"/>
      <c r="U862" s="540"/>
      <c r="V862" s="540"/>
      <c r="W862" s="540"/>
      <c r="X862" s="540"/>
      <c r="Y862" s="540"/>
      <c r="Z862" s="540"/>
    </row>
    <row r="863" spans="1:26" ht="19">
      <c r="A863" s="631"/>
      <c r="B863" s="631"/>
      <c r="C863" s="631"/>
      <c r="D863" s="832"/>
      <c r="E863" s="631"/>
      <c r="F863" s="631"/>
      <c r="G863" s="631"/>
      <c r="H863" s="833"/>
      <c r="I863" s="834"/>
      <c r="J863" s="834"/>
      <c r="K863" s="835"/>
      <c r="L863" s="835"/>
      <c r="M863" s="835"/>
      <c r="N863" s="835"/>
      <c r="O863" s="835"/>
      <c r="P863" s="835"/>
      <c r="Q863" s="540"/>
      <c r="R863" s="540"/>
      <c r="S863" s="540"/>
      <c r="T863" s="540"/>
      <c r="U863" s="540"/>
      <c r="V863" s="540"/>
      <c r="W863" s="540"/>
      <c r="X863" s="540"/>
      <c r="Y863" s="540"/>
      <c r="Z863" s="540"/>
    </row>
    <row r="864" spans="1:26" ht="19">
      <c r="A864" s="631"/>
      <c r="B864" s="631"/>
      <c r="C864" s="631"/>
      <c r="D864" s="832"/>
      <c r="E864" s="631"/>
      <c r="F864" s="631"/>
      <c r="G864" s="631"/>
      <c r="H864" s="833"/>
      <c r="I864" s="834"/>
      <c r="J864" s="834"/>
      <c r="K864" s="835"/>
      <c r="L864" s="835"/>
      <c r="M864" s="835"/>
      <c r="N864" s="835"/>
      <c r="O864" s="835"/>
      <c r="P864" s="835"/>
      <c r="Q864" s="540"/>
      <c r="R864" s="540"/>
      <c r="S864" s="540"/>
      <c r="T864" s="540"/>
      <c r="U864" s="540"/>
      <c r="V864" s="540"/>
      <c r="W864" s="540"/>
      <c r="X864" s="540"/>
      <c r="Y864" s="540"/>
      <c r="Z864" s="540"/>
    </row>
    <row r="865" spans="1:26" ht="19">
      <c r="A865" s="631"/>
      <c r="B865" s="631"/>
      <c r="C865" s="631"/>
      <c r="D865" s="832"/>
      <c r="E865" s="631"/>
      <c r="F865" s="631"/>
      <c r="G865" s="631"/>
      <c r="H865" s="833"/>
      <c r="I865" s="834"/>
      <c r="J865" s="834"/>
      <c r="K865" s="835"/>
      <c r="L865" s="835"/>
      <c r="M865" s="835"/>
      <c r="N865" s="835"/>
      <c r="O865" s="835"/>
      <c r="P865" s="835"/>
      <c r="Q865" s="540"/>
      <c r="R865" s="540"/>
      <c r="S865" s="540"/>
      <c r="T865" s="540"/>
      <c r="U865" s="540"/>
      <c r="V865" s="540"/>
      <c r="W865" s="540"/>
      <c r="X865" s="540"/>
      <c r="Y865" s="540"/>
      <c r="Z865" s="540"/>
    </row>
    <row r="866" spans="1:26" ht="19">
      <c r="A866" s="631"/>
      <c r="B866" s="631"/>
      <c r="C866" s="631"/>
      <c r="D866" s="832"/>
      <c r="E866" s="631"/>
      <c r="F866" s="631"/>
      <c r="G866" s="631"/>
      <c r="H866" s="833"/>
      <c r="I866" s="834"/>
      <c r="J866" s="834"/>
      <c r="K866" s="835"/>
      <c r="L866" s="835"/>
      <c r="M866" s="835"/>
      <c r="N866" s="835"/>
      <c r="O866" s="835"/>
      <c r="P866" s="835"/>
      <c r="Q866" s="540"/>
      <c r="R866" s="540"/>
      <c r="S866" s="540"/>
      <c r="T866" s="540"/>
      <c r="U866" s="540"/>
      <c r="V866" s="540"/>
      <c r="W866" s="540"/>
      <c r="X866" s="540"/>
      <c r="Y866" s="540"/>
      <c r="Z866" s="540"/>
    </row>
    <row r="867" spans="1:26" ht="19">
      <c r="A867" s="631"/>
      <c r="B867" s="631"/>
      <c r="C867" s="631"/>
      <c r="D867" s="832"/>
      <c r="E867" s="631"/>
      <c r="F867" s="631"/>
      <c r="G867" s="631"/>
      <c r="H867" s="833"/>
      <c r="I867" s="834"/>
      <c r="J867" s="834"/>
      <c r="K867" s="835"/>
      <c r="L867" s="835"/>
      <c r="M867" s="835"/>
      <c r="N867" s="835"/>
      <c r="O867" s="835"/>
      <c r="P867" s="835"/>
      <c r="Q867" s="540"/>
      <c r="R867" s="540"/>
      <c r="S867" s="540"/>
      <c r="T867" s="540"/>
      <c r="U867" s="540"/>
      <c r="V867" s="540"/>
      <c r="W867" s="540"/>
      <c r="X867" s="540"/>
      <c r="Y867" s="540"/>
      <c r="Z867" s="540"/>
    </row>
    <row r="868" spans="1:26" ht="19">
      <c r="A868" s="631"/>
      <c r="B868" s="631"/>
      <c r="C868" s="631"/>
      <c r="D868" s="832"/>
      <c r="E868" s="631"/>
      <c r="F868" s="631"/>
      <c r="G868" s="631"/>
      <c r="H868" s="833"/>
      <c r="I868" s="834"/>
      <c r="J868" s="834"/>
      <c r="K868" s="835"/>
      <c r="L868" s="835"/>
      <c r="M868" s="835"/>
      <c r="N868" s="835"/>
      <c r="O868" s="835"/>
      <c r="P868" s="835"/>
      <c r="Q868" s="540"/>
      <c r="R868" s="540"/>
      <c r="S868" s="540"/>
      <c r="T868" s="540"/>
      <c r="U868" s="540"/>
      <c r="V868" s="540"/>
      <c r="W868" s="540"/>
      <c r="X868" s="540"/>
      <c r="Y868" s="540"/>
      <c r="Z868" s="540"/>
    </row>
    <row r="869" spans="1:26" ht="19">
      <c r="A869" s="631"/>
      <c r="B869" s="631"/>
      <c r="C869" s="631"/>
      <c r="D869" s="832"/>
      <c r="E869" s="631"/>
      <c r="F869" s="631"/>
      <c r="G869" s="631"/>
      <c r="H869" s="833"/>
      <c r="I869" s="834"/>
      <c r="J869" s="834"/>
      <c r="K869" s="835"/>
      <c r="L869" s="835"/>
      <c r="M869" s="835"/>
      <c r="N869" s="835"/>
      <c r="O869" s="835"/>
      <c r="P869" s="835"/>
      <c r="Q869" s="540"/>
      <c r="R869" s="540"/>
      <c r="S869" s="540"/>
      <c r="T869" s="540"/>
      <c r="U869" s="540"/>
      <c r="V869" s="540"/>
      <c r="W869" s="540"/>
      <c r="X869" s="540"/>
      <c r="Y869" s="540"/>
      <c r="Z869" s="540"/>
    </row>
    <row r="870" spans="1:26" ht="19">
      <c r="A870" s="631"/>
      <c r="B870" s="631"/>
      <c r="C870" s="631"/>
      <c r="D870" s="832"/>
      <c r="E870" s="631"/>
      <c r="F870" s="631"/>
      <c r="G870" s="631"/>
      <c r="H870" s="833"/>
      <c r="I870" s="834"/>
      <c r="J870" s="834"/>
      <c r="K870" s="835"/>
      <c r="L870" s="835"/>
      <c r="M870" s="835"/>
      <c r="N870" s="835"/>
      <c r="O870" s="835"/>
      <c r="P870" s="835"/>
      <c r="Q870" s="540"/>
      <c r="R870" s="540"/>
      <c r="S870" s="540"/>
      <c r="T870" s="540"/>
      <c r="U870" s="540"/>
      <c r="V870" s="540"/>
      <c r="W870" s="540"/>
      <c r="X870" s="540"/>
      <c r="Y870" s="540"/>
      <c r="Z870" s="540"/>
    </row>
    <row r="871" spans="1:26" ht="19">
      <c r="A871" s="631"/>
      <c r="B871" s="631"/>
      <c r="C871" s="631"/>
      <c r="D871" s="832"/>
      <c r="E871" s="631"/>
      <c r="F871" s="631"/>
      <c r="G871" s="631"/>
      <c r="H871" s="833"/>
      <c r="I871" s="834"/>
      <c r="J871" s="834"/>
      <c r="K871" s="835"/>
      <c r="L871" s="835"/>
      <c r="M871" s="835"/>
      <c r="N871" s="835"/>
      <c r="O871" s="835"/>
      <c r="P871" s="835"/>
      <c r="Q871" s="540"/>
      <c r="R871" s="540"/>
      <c r="S871" s="540"/>
      <c r="T871" s="540"/>
      <c r="U871" s="540"/>
      <c r="V871" s="540"/>
      <c r="W871" s="540"/>
      <c r="X871" s="540"/>
      <c r="Y871" s="540"/>
      <c r="Z871" s="540"/>
    </row>
    <row r="872" spans="1:26" ht="19">
      <c r="A872" s="631"/>
      <c r="B872" s="631"/>
      <c r="C872" s="631"/>
      <c r="D872" s="832"/>
      <c r="E872" s="631"/>
      <c r="F872" s="631"/>
      <c r="G872" s="631"/>
      <c r="H872" s="833"/>
      <c r="I872" s="834"/>
      <c r="J872" s="834"/>
      <c r="K872" s="835"/>
      <c r="L872" s="835"/>
      <c r="M872" s="835"/>
      <c r="N872" s="835"/>
      <c r="O872" s="835"/>
      <c r="P872" s="835"/>
      <c r="Q872" s="540"/>
      <c r="R872" s="540"/>
      <c r="S872" s="540"/>
      <c r="T872" s="540"/>
      <c r="U872" s="540"/>
      <c r="V872" s="540"/>
      <c r="W872" s="540"/>
      <c r="X872" s="540"/>
      <c r="Y872" s="540"/>
      <c r="Z872" s="540"/>
    </row>
    <row r="873" spans="1:26" ht="19">
      <c r="A873" s="631"/>
      <c r="B873" s="631"/>
      <c r="C873" s="631"/>
      <c r="D873" s="832"/>
      <c r="E873" s="631"/>
      <c r="F873" s="631"/>
      <c r="G873" s="631"/>
      <c r="H873" s="833"/>
      <c r="I873" s="834"/>
      <c r="J873" s="834"/>
      <c r="K873" s="835"/>
      <c r="L873" s="835"/>
      <c r="M873" s="835"/>
      <c r="N873" s="835"/>
      <c r="O873" s="835"/>
      <c r="P873" s="835"/>
      <c r="Q873" s="540"/>
      <c r="R873" s="540"/>
      <c r="S873" s="540"/>
      <c r="T873" s="540"/>
      <c r="U873" s="540"/>
      <c r="V873" s="540"/>
      <c r="W873" s="540"/>
      <c r="X873" s="540"/>
      <c r="Y873" s="540"/>
      <c r="Z873" s="540"/>
    </row>
    <row r="874" spans="1:26" ht="19">
      <c r="A874" s="631"/>
      <c r="B874" s="631"/>
      <c r="C874" s="631"/>
      <c r="D874" s="832"/>
      <c r="E874" s="631"/>
      <c r="F874" s="631"/>
      <c r="G874" s="631"/>
      <c r="H874" s="833"/>
      <c r="I874" s="834"/>
      <c r="J874" s="834"/>
      <c r="K874" s="835"/>
      <c r="L874" s="835"/>
      <c r="M874" s="835"/>
      <c r="N874" s="835"/>
      <c r="O874" s="835"/>
      <c r="P874" s="835"/>
      <c r="Q874" s="540"/>
      <c r="R874" s="540"/>
      <c r="S874" s="540"/>
      <c r="T874" s="540"/>
      <c r="U874" s="540"/>
      <c r="V874" s="540"/>
      <c r="W874" s="540"/>
      <c r="X874" s="540"/>
      <c r="Y874" s="540"/>
      <c r="Z874" s="540"/>
    </row>
    <row r="875" spans="1:26" ht="19">
      <c r="A875" s="631"/>
      <c r="B875" s="631"/>
      <c r="C875" s="631"/>
      <c r="D875" s="832"/>
      <c r="E875" s="631"/>
      <c r="F875" s="631"/>
      <c r="G875" s="631"/>
      <c r="H875" s="833"/>
      <c r="I875" s="834"/>
      <c r="J875" s="834"/>
      <c r="K875" s="835"/>
      <c r="L875" s="835"/>
      <c r="M875" s="835"/>
      <c r="N875" s="835"/>
      <c r="O875" s="835"/>
      <c r="P875" s="835"/>
      <c r="Q875" s="540"/>
      <c r="R875" s="540"/>
      <c r="S875" s="540"/>
      <c r="T875" s="540"/>
      <c r="U875" s="540"/>
      <c r="V875" s="540"/>
      <c r="W875" s="540"/>
      <c r="X875" s="540"/>
      <c r="Y875" s="540"/>
      <c r="Z875" s="540"/>
    </row>
    <row r="876" spans="1:26" ht="19">
      <c r="A876" s="631"/>
      <c r="B876" s="631"/>
      <c r="C876" s="631"/>
      <c r="D876" s="832"/>
      <c r="E876" s="631"/>
      <c r="F876" s="631"/>
      <c r="G876" s="631"/>
      <c r="H876" s="833"/>
      <c r="I876" s="834"/>
      <c r="J876" s="834"/>
      <c r="K876" s="835"/>
      <c r="L876" s="835"/>
      <c r="M876" s="835"/>
      <c r="N876" s="835"/>
      <c r="O876" s="835"/>
      <c r="P876" s="835"/>
      <c r="Q876" s="540"/>
      <c r="R876" s="540"/>
      <c r="S876" s="540"/>
      <c r="T876" s="540"/>
      <c r="U876" s="540"/>
      <c r="V876" s="540"/>
      <c r="W876" s="540"/>
      <c r="X876" s="540"/>
      <c r="Y876" s="540"/>
      <c r="Z876" s="540"/>
    </row>
    <row r="877" spans="1:26" ht="19">
      <c r="A877" s="631"/>
      <c r="B877" s="631"/>
      <c r="C877" s="631"/>
      <c r="D877" s="832"/>
      <c r="E877" s="631"/>
      <c r="F877" s="631"/>
      <c r="G877" s="631"/>
      <c r="H877" s="833"/>
      <c r="I877" s="834"/>
      <c r="J877" s="834"/>
      <c r="K877" s="835"/>
      <c r="L877" s="835"/>
      <c r="M877" s="835"/>
      <c r="N877" s="835"/>
      <c r="O877" s="835"/>
      <c r="P877" s="835"/>
      <c r="Q877" s="540"/>
      <c r="R877" s="540"/>
      <c r="S877" s="540"/>
      <c r="T877" s="540"/>
      <c r="U877" s="540"/>
      <c r="V877" s="540"/>
      <c r="W877" s="540"/>
      <c r="X877" s="540"/>
      <c r="Y877" s="540"/>
      <c r="Z877" s="540"/>
    </row>
    <row r="878" spans="1:26" ht="19">
      <c r="A878" s="631"/>
      <c r="B878" s="631"/>
      <c r="C878" s="631"/>
      <c r="D878" s="832"/>
      <c r="E878" s="631"/>
      <c r="F878" s="631"/>
      <c r="G878" s="631"/>
      <c r="H878" s="833"/>
      <c r="I878" s="834"/>
      <c r="J878" s="834"/>
      <c r="K878" s="835"/>
      <c r="L878" s="835"/>
      <c r="M878" s="835"/>
      <c r="N878" s="835"/>
      <c r="O878" s="835"/>
      <c r="P878" s="835"/>
      <c r="Q878" s="540"/>
      <c r="R878" s="540"/>
      <c r="S878" s="540"/>
      <c r="T878" s="540"/>
      <c r="U878" s="540"/>
      <c r="V878" s="540"/>
      <c r="W878" s="540"/>
      <c r="X878" s="540"/>
      <c r="Y878" s="540"/>
      <c r="Z878" s="540"/>
    </row>
    <row r="879" spans="1:26" ht="19">
      <c r="A879" s="631"/>
      <c r="B879" s="631"/>
      <c r="C879" s="631"/>
      <c r="D879" s="832"/>
      <c r="E879" s="631"/>
      <c r="F879" s="631"/>
      <c r="G879" s="631"/>
      <c r="H879" s="833"/>
      <c r="I879" s="834"/>
      <c r="J879" s="834"/>
      <c r="K879" s="835"/>
      <c r="L879" s="835"/>
      <c r="M879" s="835"/>
      <c r="N879" s="835"/>
      <c r="O879" s="835"/>
      <c r="P879" s="835"/>
      <c r="Q879" s="540"/>
      <c r="R879" s="540"/>
      <c r="S879" s="540"/>
      <c r="T879" s="540"/>
      <c r="U879" s="540"/>
      <c r="V879" s="540"/>
      <c r="W879" s="540"/>
      <c r="X879" s="540"/>
      <c r="Y879" s="540"/>
      <c r="Z879" s="540"/>
    </row>
    <row r="880" spans="1:26" ht="19">
      <c r="A880" s="631"/>
      <c r="B880" s="631"/>
      <c r="C880" s="631"/>
      <c r="D880" s="832"/>
      <c r="E880" s="631"/>
      <c r="F880" s="631"/>
      <c r="G880" s="631"/>
      <c r="H880" s="833"/>
      <c r="I880" s="834"/>
      <c r="J880" s="834"/>
      <c r="K880" s="835"/>
      <c r="L880" s="835"/>
      <c r="M880" s="835"/>
      <c r="N880" s="835"/>
      <c r="O880" s="835"/>
      <c r="P880" s="835"/>
      <c r="Q880" s="540"/>
      <c r="R880" s="540"/>
      <c r="S880" s="540"/>
      <c r="T880" s="540"/>
      <c r="U880" s="540"/>
      <c r="V880" s="540"/>
      <c r="W880" s="540"/>
      <c r="X880" s="540"/>
      <c r="Y880" s="540"/>
      <c r="Z880" s="540"/>
    </row>
    <row r="881" spans="1:26" ht="19">
      <c r="A881" s="631"/>
      <c r="B881" s="631"/>
      <c r="C881" s="631"/>
      <c r="D881" s="832"/>
      <c r="E881" s="631"/>
      <c r="F881" s="631"/>
      <c r="G881" s="631"/>
      <c r="H881" s="833"/>
      <c r="I881" s="834"/>
      <c r="J881" s="834"/>
      <c r="K881" s="835"/>
      <c r="L881" s="835"/>
      <c r="M881" s="835"/>
      <c r="N881" s="835"/>
      <c r="O881" s="835"/>
      <c r="P881" s="835"/>
      <c r="Q881" s="540"/>
      <c r="R881" s="540"/>
      <c r="S881" s="540"/>
      <c r="T881" s="540"/>
      <c r="U881" s="540"/>
      <c r="V881" s="540"/>
      <c r="W881" s="540"/>
      <c r="X881" s="540"/>
      <c r="Y881" s="540"/>
      <c r="Z881" s="540"/>
    </row>
    <row r="882" spans="1:26" ht="19">
      <c r="A882" s="631"/>
      <c r="B882" s="631"/>
      <c r="C882" s="631"/>
      <c r="D882" s="832"/>
      <c r="E882" s="631"/>
      <c r="F882" s="631"/>
      <c r="G882" s="631"/>
      <c r="H882" s="833"/>
      <c r="I882" s="834"/>
      <c r="J882" s="834"/>
      <c r="K882" s="835"/>
      <c r="L882" s="835"/>
      <c r="M882" s="835"/>
      <c r="N882" s="835"/>
      <c r="O882" s="835"/>
      <c r="P882" s="835"/>
      <c r="Q882" s="540"/>
      <c r="R882" s="540"/>
      <c r="S882" s="540"/>
      <c r="T882" s="540"/>
      <c r="U882" s="540"/>
      <c r="V882" s="540"/>
      <c r="W882" s="540"/>
      <c r="X882" s="540"/>
      <c r="Y882" s="540"/>
      <c r="Z882" s="540"/>
    </row>
    <row r="883" spans="1:26" ht="19">
      <c r="A883" s="631"/>
      <c r="B883" s="631"/>
      <c r="C883" s="631"/>
      <c r="D883" s="832"/>
      <c r="E883" s="631"/>
      <c r="F883" s="631"/>
      <c r="G883" s="631"/>
      <c r="H883" s="833"/>
      <c r="I883" s="834"/>
      <c r="J883" s="834"/>
      <c r="K883" s="835"/>
      <c r="L883" s="835"/>
      <c r="M883" s="835"/>
      <c r="N883" s="835"/>
      <c r="O883" s="835"/>
      <c r="P883" s="835"/>
      <c r="Q883" s="540"/>
      <c r="R883" s="540"/>
      <c r="S883" s="540"/>
      <c r="T883" s="540"/>
      <c r="U883" s="540"/>
      <c r="V883" s="540"/>
      <c r="W883" s="540"/>
      <c r="X883" s="540"/>
      <c r="Y883" s="540"/>
      <c r="Z883" s="540"/>
    </row>
    <row r="884" spans="1:26" ht="19">
      <c r="A884" s="631"/>
      <c r="B884" s="631"/>
      <c r="C884" s="631"/>
      <c r="D884" s="832"/>
      <c r="E884" s="631"/>
      <c r="F884" s="631"/>
      <c r="G884" s="631"/>
      <c r="H884" s="833"/>
      <c r="I884" s="834"/>
      <c r="J884" s="834"/>
      <c r="K884" s="835"/>
      <c r="L884" s="835"/>
      <c r="M884" s="835"/>
      <c r="N884" s="835"/>
      <c r="O884" s="835"/>
      <c r="P884" s="835"/>
      <c r="Q884" s="540"/>
      <c r="R884" s="540"/>
      <c r="S884" s="540"/>
      <c r="T884" s="540"/>
      <c r="U884" s="540"/>
      <c r="V884" s="540"/>
      <c r="W884" s="540"/>
      <c r="X884" s="540"/>
      <c r="Y884" s="540"/>
      <c r="Z884" s="540"/>
    </row>
    <row r="885" spans="1:26" ht="19">
      <c r="A885" s="631"/>
      <c r="B885" s="631"/>
      <c r="C885" s="631"/>
      <c r="D885" s="832"/>
      <c r="E885" s="631"/>
      <c r="F885" s="631"/>
      <c r="G885" s="631"/>
      <c r="H885" s="833"/>
      <c r="I885" s="834"/>
      <c r="J885" s="834"/>
      <c r="K885" s="835"/>
      <c r="L885" s="835"/>
      <c r="M885" s="835"/>
      <c r="N885" s="835"/>
      <c r="O885" s="835"/>
      <c r="P885" s="835"/>
      <c r="Q885" s="540"/>
      <c r="R885" s="540"/>
      <c r="S885" s="540"/>
      <c r="T885" s="540"/>
      <c r="U885" s="540"/>
      <c r="V885" s="540"/>
      <c r="W885" s="540"/>
      <c r="X885" s="540"/>
      <c r="Y885" s="540"/>
      <c r="Z885" s="540"/>
    </row>
    <row r="886" spans="1:26" ht="19">
      <c r="A886" s="631"/>
      <c r="B886" s="631"/>
      <c r="C886" s="631"/>
      <c r="D886" s="832"/>
      <c r="E886" s="631"/>
      <c r="F886" s="631"/>
      <c r="G886" s="631"/>
      <c r="H886" s="833"/>
      <c r="I886" s="834"/>
      <c r="J886" s="834"/>
      <c r="K886" s="835"/>
      <c r="L886" s="835"/>
      <c r="M886" s="835"/>
      <c r="N886" s="835"/>
      <c r="O886" s="835"/>
      <c r="P886" s="835"/>
      <c r="Q886" s="540"/>
      <c r="R886" s="540"/>
      <c r="S886" s="540"/>
      <c r="T886" s="540"/>
      <c r="U886" s="540"/>
      <c r="V886" s="540"/>
      <c r="W886" s="540"/>
      <c r="X886" s="540"/>
      <c r="Y886" s="540"/>
      <c r="Z886" s="540"/>
    </row>
    <row r="887" spans="1:26" ht="19">
      <c r="A887" s="631"/>
      <c r="B887" s="631"/>
      <c r="C887" s="631"/>
      <c r="D887" s="832"/>
      <c r="E887" s="631"/>
      <c r="F887" s="631"/>
      <c r="G887" s="631"/>
      <c r="H887" s="833"/>
      <c r="I887" s="834"/>
      <c r="J887" s="834"/>
      <c r="K887" s="835"/>
      <c r="L887" s="835"/>
      <c r="M887" s="835"/>
      <c r="N887" s="835"/>
      <c r="O887" s="835"/>
      <c r="P887" s="835"/>
      <c r="Q887" s="540"/>
      <c r="R887" s="540"/>
      <c r="S887" s="540"/>
      <c r="T887" s="540"/>
      <c r="U887" s="540"/>
      <c r="V887" s="540"/>
      <c r="W887" s="540"/>
      <c r="X887" s="540"/>
      <c r="Y887" s="540"/>
      <c r="Z887" s="540"/>
    </row>
    <row r="888" spans="1:26" ht="19">
      <c r="A888" s="631"/>
      <c r="B888" s="631"/>
      <c r="C888" s="631"/>
      <c r="D888" s="832"/>
      <c r="E888" s="631"/>
      <c r="F888" s="631"/>
      <c r="G888" s="631"/>
      <c r="H888" s="833"/>
      <c r="I888" s="834"/>
      <c r="J888" s="834"/>
      <c r="K888" s="835"/>
      <c r="L888" s="835"/>
      <c r="M888" s="835"/>
      <c r="N888" s="835"/>
      <c r="O888" s="835"/>
      <c r="P888" s="835"/>
      <c r="Q888" s="540"/>
      <c r="R888" s="540"/>
      <c r="S888" s="540"/>
      <c r="T888" s="540"/>
      <c r="U888" s="540"/>
      <c r="V888" s="540"/>
      <c r="W888" s="540"/>
      <c r="X888" s="540"/>
      <c r="Y888" s="540"/>
      <c r="Z888" s="540"/>
    </row>
    <row r="889" spans="1:26" ht="19">
      <c r="A889" s="631"/>
      <c r="B889" s="631"/>
      <c r="C889" s="631"/>
      <c r="D889" s="832"/>
      <c r="E889" s="631"/>
      <c r="F889" s="631"/>
      <c r="G889" s="631"/>
      <c r="H889" s="833"/>
      <c r="I889" s="834"/>
      <c r="J889" s="834"/>
      <c r="K889" s="835"/>
      <c r="L889" s="835"/>
      <c r="M889" s="835"/>
      <c r="N889" s="835"/>
      <c r="O889" s="835"/>
      <c r="P889" s="835"/>
      <c r="Q889" s="540"/>
      <c r="R889" s="540"/>
      <c r="S889" s="540"/>
      <c r="T889" s="540"/>
      <c r="U889" s="540"/>
      <c r="V889" s="540"/>
      <c r="W889" s="540"/>
      <c r="X889" s="540"/>
      <c r="Y889" s="540"/>
      <c r="Z889" s="540"/>
    </row>
    <row r="890" spans="1:26" ht="19">
      <c r="A890" s="631"/>
      <c r="B890" s="631"/>
      <c r="C890" s="631"/>
      <c r="D890" s="832"/>
      <c r="E890" s="631"/>
      <c r="F890" s="631"/>
      <c r="G890" s="631"/>
      <c r="H890" s="833"/>
      <c r="I890" s="834"/>
      <c r="J890" s="834"/>
      <c r="K890" s="835"/>
      <c r="L890" s="835"/>
      <c r="M890" s="835"/>
      <c r="N890" s="835"/>
      <c r="O890" s="835"/>
      <c r="P890" s="835"/>
      <c r="Q890" s="540"/>
      <c r="R890" s="540"/>
      <c r="S890" s="540"/>
      <c r="T890" s="540"/>
      <c r="U890" s="540"/>
      <c r="V890" s="540"/>
      <c r="W890" s="540"/>
      <c r="X890" s="540"/>
      <c r="Y890" s="540"/>
      <c r="Z890" s="540"/>
    </row>
    <row r="891" spans="1:26" ht="19">
      <c r="A891" s="631"/>
      <c r="B891" s="631"/>
      <c r="C891" s="631"/>
      <c r="D891" s="832"/>
      <c r="E891" s="631"/>
      <c r="F891" s="631"/>
      <c r="G891" s="631"/>
      <c r="H891" s="833"/>
      <c r="I891" s="834"/>
      <c r="J891" s="834"/>
      <c r="K891" s="835"/>
      <c r="L891" s="835"/>
      <c r="M891" s="835"/>
      <c r="N891" s="835"/>
      <c r="O891" s="835"/>
      <c r="P891" s="835"/>
      <c r="Q891" s="540"/>
      <c r="R891" s="540"/>
      <c r="S891" s="540"/>
      <c r="T891" s="540"/>
      <c r="U891" s="540"/>
      <c r="V891" s="540"/>
      <c r="W891" s="540"/>
      <c r="X891" s="540"/>
      <c r="Y891" s="540"/>
      <c r="Z891" s="540"/>
    </row>
    <row r="892" spans="1:26" ht="19">
      <c r="A892" s="631"/>
      <c r="B892" s="631"/>
      <c r="C892" s="631"/>
      <c r="D892" s="832"/>
      <c r="E892" s="631"/>
      <c r="F892" s="631"/>
      <c r="G892" s="631"/>
      <c r="H892" s="833"/>
      <c r="I892" s="834"/>
      <c r="J892" s="834"/>
      <c r="K892" s="835"/>
      <c r="L892" s="835"/>
      <c r="M892" s="835"/>
      <c r="N892" s="835"/>
      <c r="O892" s="835"/>
      <c r="P892" s="835"/>
      <c r="Q892" s="540"/>
      <c r="R892" s="540"/>
      <c r="S892" s="540"/>
      <c r="T892" s="540"/>
      <c r="U892" s="540"/>
      <c r="V892" s="540"/>
      <c r="W892" s="540"/>
      <c r="X892" s="540"/>
      <c r="Y892" s="540"/>
      <c r="Z892" s="540"/>
    </row>
    <row r="893" spans="1:26" ht="19">
      <c r="A893" s="631"/>
      <c r="B893" s="631"/>
      <c r="C893" s="631"/>
      <c r="D893" s="832"/>
      <c r="E893" s="631"/>
      <c r="F893" s="631"/>
      <c r="G893" s="631"/>
      <c r="H893" s="833"/>
      <c r="I893" s="834"/>
      <c r="J893" s="834"/>
      <c r="K893" s="835"/>
      <c r="L893" s="835"/>
      <c r="M893" s="835"/>
      <c r="N893" s="835"/>
      <c r="O893" s="835"/>
      <c r="P893" s="835"/>
      <c r="Q893" s="540"/>
      <c r="R893" s="540"/>
      <c r="S893" s="540"/>
      <c r="T893" s="540"/>
      <c r="U893" s="540"/>
      <c r="V893" s="540"/>
      <c r="W893" s="540"/>
      <c r="X893" s="540"/>
      <c r="Y893" s="540"/>
      <c r="Z893" s="540"/>
    </row>
    <row r="894" spans="1:26" ht="19">
      <c r="A894" s="631"/>
      <c r="B894" s="631"/>
      <c r="C894" s="631"/>
      <c r="D894" s="832"/>
      <c r="E894" s="631"/>
      <c r="F894" s="631"/>
      <c r="G894" s="631"/>
      <c r="H894" s="833"/>
      <c r="I894" s="834"/>
      <c r="J894" s="834"/>
      <c r="K894" s="835"/>
      <c r="L894" s="835"/>
      <c r="M894" s="835"/>
      <c r="N894" s="835"/>
      <c r="O894" s="835"/>
      <c r="P894" s="835"/>
      <c r="Q894" s="540"/>
      <c r="R894" s="540"/>
      <c r="S894" s="540"/>
      <c r="T894" s="540"/>
      <c r="U894" s="540"/>
      <c r="V894" s="540"/>
      <c r="W894" s="540"/>
      <c r="X894" s="540"/>
      <c r="Y894" s="540"/>
      <c r="Z894" s="540"/>
    </row>
    <row r="895" spans="1:26" ht="19">
      <c r="A895" s="631"/>
      <c r="B895" s="631"/>
      <c r="C895" s="631"/>
      <c r="D895" s="832"/>
      <c r="E895" s="631"/>
      <c r="F895" s="631"/>
      <c r="G895" s="631"/>
      <c r="H895" s="833"/>
      <c r="I895" s="834"/>
      <c r="J895" s="834"/>
      <c r="K895" s="835"/>
      <c r="L895" s="835"/>
      <c r="M895" s="835"/>
      <c r="N895" s="835"/>
      <c r="O895" s="835"/>
      <c r="P895" s="835"/>
      <c r="Q895" s="540"/>
      <c r="R895" s="540"/>
      <c r="S895" s="540"/>
      <c r="T895" s="540"/>
      <c r="U895" s="540"/>
      <c r="V895" s="540"/>
      <c r="W895" s="540"/>
      <c r="X895" s="540"/>
      <c r="Y895" s="540"/>
      <c r="Z895" s="540"/>
    </row>
    <row r="896" spans="1:26" ht="19">
      <c r="A896" s="631"/>
      <c r="B896" s="631"/>
      <c r="C896" s="631"/>
      <c r="D896" s="832"/>
      <c r="E896" s="631"/>
      <c r="F896" s="631"/>
      <c r="G896" s="631"/>
      <c r="H896" s="833"/>
      <c r="I896" s="834"/>
      <c r="J896" s="834"/>
      <c r="K896" s="835"/>
      <c r="L896" s="835"/>
      <c r="M896" s="835"/>
      <c r="N896" s="835"/>
      <c r="O896" s="835"/>
      <c r="P896" s="835"/>
      <c r="Q896" s="540"/>
      <c r="R896" s="540"/>
      <c r="S896" s="540"/>
      <c r="T896" s="540"/>
      <c r="U896" s="540"/>
      <c r="V896" s="540"/>
      <c r="W896" s="540"/>
      <c r="X896" s="540"/>
      <c r="Y896" s="540"/>
      <c r="Z896" s="540"/>
    </row>
    <row r="897" spans="1:26" ht="19">
      <c r="A897" s="631"/>
      <c r="B897" s="631"/>
      <c r="C897" s="631"/>
      <c r="D897" s="832"/>
      <c r="E897" s="631"/>
      <c r="F897" s="631"/>
      <c r="G897" s="631"/>
      <c r="H897" s="833"/>
      <c r="I897" s="834"/>
      <c r="J897" s="834"/>
      <c r="K897" s="835"/>
      <c r="L897" s="835"/>
      <c r="M897" s="835"/>
      <c r="N897" s="835"/>
      <c r="O897" s="835"/>
      <c r="P897" s="835"/>
      <c r="Q897" s="540"/>
      <c r="R897" s="540"/>
      <c r="S897" s="540"/>
      <c r="T897" s="540"/>
      <c r="U897" s="540"/>
      <c r="V897" s="540"/>
      <c r="W897" s="540"/>
      <c r="X897" s="540"/>
      <c r="Y897" s="540"/>
      <c r="Z897" s="540"/>
    </row>
    <row r="898" spans="1:26" ht="19">
      <c r="A898" s="631"/>
      <c r="B898" s="631"/>
      <c r="C898" s="631"/>
      <c r="D898" s="832"/>
      <c r="E898" s="631"/>
      <c r="F898" s="631"/>
      <c r="G898" s="631"/>
      <c r="H898" s="833"/>
      <c r="I898" s="834"/>
      <c r="J898" s="834"/>
      <c r="K898" s="835"/>
      <c r="L898" s="835"/>
      <c r="M898" s="835"/>
      <c r="N898" s="835"/>
      <c r="O898" s="835"/>
      <c r="P898" s="835"/>
      <c r="Q898" s="540"/>
      <c r="R898" s="540"/>
      <c r="S898" s="540"/>
      <c r="T898" s="540"/>
      <c r="U898" s="540"/>
      <c r="V898" s="540"/>
      <c r="W898" s="540"/>
      <c r="X898" s="540"/>
      <c r="Y898" s="540"/>
      <c r="Z898" s="540"/>
    </row>
    <row r="899" spans="1:26" ht="19">
      <c r="A899" s="631"/>
      <c r="B899" s="631"/>
      <c r="C899" s="631"/>
      <c r="D899" s="832"/>
      <c r="E899" s="631"/>
      <c r="F899" s="631"/>
      <c r="G899" s="631"/>
      <c r="H899" s="833"/>
      <c r="I899" s="834"/>
      <c r="J899" s="834"/>
      <c r="K899" s="835"/>
      <c r="L899" s="835"/>
      <c r="M899" s="835"/>
      <c r="N899" s="835"/>
      <c r="O899" s="835"/>
      <c r="P899" s="835"/>
      <c r="Q899" s="540"/>
      <c r="R899" s="540"/>
      <c r="S899" s="540"/>
      <c r="T899" s="540"/>
      <c r="U899" s="540"/>
      <c r="V899" s="540"/>
      <c r="W899" s="540"/>
      <c r="X899" s="540"/>
      <c r="Y899" s="540"/>
      <c r="Z899" s="540"/>
    </row>
    <row r="900" spans="1:26" ht="19">
      <c r="A900" s="631"/>
      <c r="B900" s="631"/>
      <c r="C900" s="631"/>
      <c r="D900" s="832"/>
      <c r="E900" s="631"/>
      <c r="F900" s="631"/>
      <c r="G900" s="631"/>
      <c r="H900" s="833"/>
      <c r="I900" s="834"/>
      <c r="J900" s="834"/>
      <c r="K900" s="835"/>
      <c r="L900" s="835"/>
      <c r="M900" s="835"/>
      <c r="N900" s="835"/>
      <c r="O900" s="835"/>
      <c r="P900" s="835"/>
      <c r="Q900" s="540"/>
      <c r="R900" s="540"/>
      <c r="S900" s="540"/>
      <c r="T900" s="540"/>
      <c r="U900" s="540"/>
      <c r="V900" s="540"/>
      <c r="W900" s="540"/>
      <c r="X900" s="540"/>
      <c r="Y900" s="540"/>
      <c r="Z900" s="540"/>
    </row>
    <row r="901" spans="1:26" ht="19">
      <c r="A901" s="631"/>
      <c r="B901" s="631"/>
      <c r="C901" s="631"/>
      <c r="D901" s="832"/>
      <c r="E901" s="631"/>
      <c r="F901" s="631"/>
      <c r="G901" s="631"/>
      <c r="H901" s="833"/>
      <c r="I901" s="834"/>
      <c r="J901" s="834"/>
      <c r="K901" s="835"/>
      <c r="L901" s="835"/>
      <c r="M901" s="835"/>
      <c r="N901" s="835"/>
      <c r="O901" s="835"/>
      <c r="P901" s="835"/>
      <c r="Q901" s="540"/>
      <c r="R901" s="540"/>
      <c r="S901" s="540"/>
      <c r="T901" s="540"/>
      <c r="U901" s="540"/>
      <c r="V901" s="540"/>
      <c r="W901" s="540"/>
      <c r="X901" s="540"/>
      <c r="Y901" s="540"/>
      <c r="Z901" s="540"/>
    </row>
    <row r="902" spans="1:26" ht="19">
      <c r="A902" s="631"/>
      <c r="B902" s="631"/>
      <c r="C902" s="631"/>
      <c r="D902" s="832"/>
      <c r="E902" s="631"/>
      <c r="F902" s="631"/>
      <c r="G902" s="631"/>
      <c r="H902" s="833"/>
      <c r="I902" s="834"/>
      <c r="J902" s="834"/>
      <c r="K902" s="835"/>
      <c r="L902" s="835"/>
      <c r="M902" s="835"/>
      <c r="N902" s="835"/>
      <c r="O902" s="835"/>
      <c r="P902" s="835"/>
      <c r="Q902" s="540"/>
      <c r="R902" s="540"/>
      <c r="S902" s="540"/>
      <c r="T902" s="540"/>
      <c r="U902" s="540"/>
      <c r="V902" s="540"/>
      <c r="W902" s="540"/>
      <c r="X902" s="540"/>
      <c r="Y902" s="540"/>
      <c r="Z902" s="540"/>
    </row>
    <row r="903" spans="1:26" ht="19">
      <c r="A903" s="631"/>
      <c r="B903" s="631"/>
      <c r="C903" s="631"/>
      <c r="D903" s="832"/>
      <c r="E903" s="631"/>
      <c r="F903" s="631"/>
      <c r="G903" s="631"/>
      <c r="H903" s="833"/>
      <c r="I903" s="834"/>
      <c r="J903" s="834"/>
      <c r="K903" s="835"/>
      <c r="L903" s="835"/>
      <c r="M903" s="835"/>
      <c r="N903" s="835"/>
      <c r="O903" s="835"/>
      <c r="P903" s="835"/>
      <c r="Q903" s="540"/>
      <c r="R903" s="540"/>
      <c r="S903" s="540"/>
      <c r="T903" s="540"/>
      <c r="U903" s="540"/>
      <c r="V903" s="540"/>
      <c r="W903" s="540"/>
      <c r="X903" s="540"/>
      <c r="Y903" s="540"/>
      <c r="Z903" s="540"/>
    </row>
    <row r="904" spans="1:26" ht="19">
      <c r="A904" s="631"/>
      <c r="B904" s="631"/>
      <c r="C904" s="631"/>
      <c r="D904" s="832"/>
      <c r="E904" s="631"/>
      <c r="F904" s="631"/>
      <c r="G904" s="631"/>
      <c r="H904" s="833"/>
      <c r="I904" s="834"/>
      <c r="J904" s="834"/>
      <c r="K904" s="835"/>
      <c r="L904" s="835"/>
      <c r="M904" s="835"/>
      <c r="N904" s="835"/>
      <c r="O904" s="835"/>
      <c r="P904" s="835"/>
      <c r="Q904" s="540"/>
      <c r="R904" s="540"/>
      <c r="S904" s="540"/>
      <c r="T904" s="540"/>
      <c r="U904" s="540"/>
      <c r="V904" s="540"/>
      <c r="W904" s="540"/>
      <c r="X904" s="540"/>
      <c r="Y904" s="540"/>
      <c r="Z904" s="540"/>
    </row>
    <row r="905" spans="1:26" ht="19">
      <c r="A905" s="631"/>
      <c r="B905" s="631"/>
      <c r="C905" s="631"/>
      <c r="D905" s="832"/>
      <c r="E905" s="631"/>
      <c r="F905" s="631"/>
      <c r="G905" s="631"/>
      <c r="H905" s="833"/>
      <c r="I905" s="834"/>
      <c r="J905" s="834"/>
      <c r="K905" s="835"/>
      <c r="L905" s="835"/>
      <c r="M905" s="835"/>
      <c r="N905" s="835"/>
      <c r="O905" s="835"/>
      <c r="P905" s="835"/>
      <c r="Q905" s="540"/>
      <c r="R905" s="540"/>
      <c r="S905" s="540"/>
      <c r="T905" s="540"/>
      <c r="U905" s="540"/>
      <c r="V905" s="540"/>
      <c r="W905" s="540"/>
      <c r="X905" s="540"/>
      <c r="Y905" s="540"/>
      <c r="Z905" s="540"/>
    </row>
    <row r="906" spans="1:26" ht="19">
      <c r="A906" s="631"/>
      <c r="B906" s="631"/>
      <c r="C906" s="631"/>
      <c r="D906" s="832"/>
      <c r="E906" s="631"/>
      <c r="F906" s="631"/>
      <c r="G906" s="631"/>
      <c r="H906" s="833"/>
      <c r="I906" s="834"/>
      <c r="J906" s="834"/>
      <c r="K906" s="835"/>
      <c r="L906" s="835"/>
      <c r="M906" s="835"/>
      <c r="N906" s="835"/>
      <c r="O906" s="835"/>
      <c r="P906" s="835"/>
      <c r="Q906" s="540"/>
      <c r="R906" s="540"/>
      <c r="S906" s="540"/>
      <c r="T906" s="540"/>
      <c r="U906" s="540"/>
      <c r="V906" s="540"/>
      <c r="W906" s="540"/>
      <c r="X906" s="540"/>
      <c r="Y906" s="540"/>
      <c r="Z906" s="540"/>
    </row>
    <row r="907" spans="1:26" ht="19">
      <c r="A907" s="631"/>
      <c r="B907" s="631"/>
      <c r="C907" s="631"/>
      <c r="D907" s="832"/>
      <c r="E907" s="631"/>
      <c r="F907" s="631"/>
      <c r="G907" s="631"/>
      <c r="H907" s="833"/>
      <c r="I907" s="834"/>
      <c r="J907" s="834"/>
      <c r="K907" s="835"/>
      <c r="L907" s="835"/>
      <c r="M907" s="835"/>
      <c r="N907" s="835"/>
      <c r="O907" s="835"/>
      <c r="P907" s="835"/>
      <c r="Q907" s="540"/>
      <c r="R907" s="540"/>
      <c r="S907" s="540"/>
      <c r="T907" s="540"/>
      <c r="U907" s="540"/>
      <c r="V907" s="540"/>
      <c r="W907" s="540"/>
      <c r="X907" s="540"/>
      <c r="Y907" s="540"/>
      <c r="Z907" s="540"/>
    </row>
    <row r="908" spans="1:26" ht="19">
      <c r="A908" s="631"/>
      <c r="B908" s="631"/>
      <c r="C908" s="631"/>
      <c r="D908" s="832"/>
      <c r="E908" s="631"/>
      <c r="F908" s="631"/>
      <c r="G908" s="631"/>
      <c r="H908" s="833"/>
      <c r="I908" s="834"/>
      <c r="J908" s="834"/>
      <c r="K908" s="835"/>
      <c r="L908" s="835"/>
      <c r="M908" s="835"/>
      <c r="N908" s="835"/>
      <c r="O908" s="835"/>
      <c r="P908" s="835"/>
      <c r="Q908" s="540"/>
      <c r="R908" s="540"/>
      <c r="S908" s="540"/>
      <c r="T908" s="540"/>
      <c r="U908" s="540"/>
      <c r="V908" s="540"/>
      <c r="W908" s="540"/>
      <c r="X908" s="540"/>
      <c r="Y908" s="540"/>
      <c r="Z908" s="540"/>
    </row>
    <row r="909" spans="1:26" ht="19">
      <c r="A909" s="631"/>
      <c r="B909" s="631"/>
      <c r="C909" s="631"/>
      <c r="D909" s="832"/>
      <c r="E909" s="631"/>
      <c r="F909" s="631"/>
      <c r="G909" s="631"/>
      <c r="H909" s="833"/>
      <c r="I909" s="834"/>
      <c r="J909" s="834"/>
      <c r="K909" s="835"/>
      <c r="L909" s="835"/>
      <c r="M909" s="835"/>
      <c r="N909" s="835"/>
      <c r="O909" s="835"/>
      <c r="P909" s="835"/>
      <c r="Q909" s="540"/>
      <c r="R909" s="540"/>
      <c r="S909" s="540"/>
      <c r="T909" s="540"/>
      <c r="U909" s="540"/>
      <c r="V909" s="540"/>
      <c r="W909" s="540"/>
      <c r="X909" s="540"/>
      <c r="Y909" s="540"/>
      <c r="Z909" s="540"/>
    </row>
    <row r="910" spans="1:26" ht="19">
      <c r="A910" s="631"/>
      <c r="B910" s="631"/>
      <c r="C910" s="631"/>
      <c r="D910" s="832"/>
      <c r="E910" s="631"/>
      <c r="F910" s="631"/>
      <c r="G910" s="631"/>
      <c r="H910" s="833"/>
      <c r="I910" s="834"/>
      <c r="J910" s="834"/>
      <c r="K910" s="835"/>
      <c r="L910" s="835"/>
      <c r="M910" s="835"/>
      <c r="N910" s="835"/>
      <c r="O910" s="835"/>
      <c r="P910" s="835"/>
      <c r="Q910" s="540"/>
      <c r="R910" s="540"/>
      <c r="S910" s="540"/>
      <c r="T910" s="540"/>
      <c r="U910" s="540"/>
      <c r="V910" s="540"/>
      <c r="W910" s="540"/>
      <c r="X910" s="540"/>
      <c r="Y910" s="540"/>
      <c r="Z910" s="540"/>
    </row>
    <row r="911" spans="1:26" ht="19">
      <c r="A911" s="631"/>
      <c r="B911" s="631"/>
      <c r="C911" s="631"/>
      <c r="D911" s="832"/>
      <c r="E911" s="631"/>
      <c r="F911" s="631"/>
      <c r="G911" s="631"/>
      <c r="H911" s="833"/>
      <c r="I911" s="834"/>
      <c r="J911" s="834"/>
      <c r="K911" s="835"/>
      <c r="L911" s="835"/>
      <c r="M911" s="835"/>
      <c r="N911" s="835"/>
      <c r="O911" s="835"/>
      <c r="P911" s="835"/>
      <c r="Q911" s="540"/>
      <c r="R911" s="540"/>
      <c r="S911" s="540"/>
      <c r="T911" s="540"/>
      <c r="U911" s="540"/>
      <c r="V911" s="540"/>
      <c r="W911" s="540"/>
      <c r="X911" s="540"/>
      <c r="Y911" s="540"/>
      <c r="Z911" s="540"/>
    </row>
    <row r="912" spans="1:26" ht="19">
      <c r="A912" s="631"/>
      <c r="B912" s="631"/>
      <c r="C912" s="631"/>
      <c r="D912" s="832"/>
      <c r="E912" s="631"/>
      <c r="F912" s="631"/>
      <c r="G912" s="631"/>
      <c r="H912" s="833"/>
      <c r="I912" s="834"/>
      <c r="J912" s="834"/>
      <c r="K912" s="835"/>
      <c r="L912" s="835"/>
      <c r="M912" s="835"/>
      <c r="N912" s="835"/>
      <c r="O912" s="835"/>
      <c r="P912" s="835"/>
      <c r="Q912" s="540"/>
      <c r="R912" s="540"/>
      <c r="S912" s="540"/>
      <c r="T912" s="540"/>
      <c r="U912" s="540"/>
      <c r="V912" s="540"/>
      <c r="W912" s="540"/>
      <c r="X912" s="540"/>
      <c r="Y912" s="540"/>
      <c r="Z912" s="540"/>
    </row>
    <row r="913" spans="1:26" ht="19">
      <c r="A913" s="631"/>
      <c r="B913" s="631"/>
      <c r="C913" s="631"/>
      <c r="D913" s="832"/>
      <c r="E913" s="631"/>
      <c r="F913" s="631"/>
      <c r="G913" s="631"/>
      <c r="H913" s="833"/>
      <c r="I913" s="834"/>
      <c r="J913" s="834"/>
      <c r="K913" s="835"/>
      <c r="L913" s="835"/>
      <c r="M913" s="835"/>
      <c r="N913" s="835"/>
      <c r="O913" s="835"/>
      <c r="P913" s="835"/>
      <c r="Q913" s="540"/>
      <c r="R913" s="540"/>
      <c r="S913" s="540"/>
      <c r="T913" s="540"/>
      <c r="U913" s="540"/>
      <c r="V913" s="540"/>
      <c r="W913" s="540"/>
      <c r="X913" s="540"/>
      <c r="Y913" s="540"/>
      <c r="Z913" s="540"/>
    </row>
    <row r="914" spans="1:26" ht="19">
      <c r="A914" s="631"/>
      <c r="B914" s="631"/>
      <c r="C914" s="631"/>
      <c r="D914" s="832"/>
      <c r="E914" s="631"/>
      <c r="F914" s="631"/>
      <c r="G914" s="631"/>
      <c r="H914" s="833"/>
      <c r="I914" s="834"/>
      <c r="J914" s="834"/>
      <c r="K914" s="835"/>
      <c r="L914" s="835"/>
      <c r="M914" s="835"/>
      <c r="N914" s="835"/>
      <c r="O914" s="835"/>
      <c r="P914" s="835"/>
      <c r="Q914" s="540"/>
      <c r="R914" s="540"/>
      <c r="S914" s="540"/>
      <c r="T914" s="540"/>
      <c r="U914" s="540"/>
      <c r="V914" s="540"/>
      <c r="W914" s="540"/>
      <c r="X914" s="540"/>
      <c r="Y914" s="540"/>
      <c r="Z914" s="540"/>
    </row>
    <row r="915" spans="1:26" ht="19">
      <c r="A915" s="631"/>
      <c r="B915" s="631"/>
      <c r="C915" s="631"/>
      <c r="D915" s="832"/>
      <c r="E915" s="631"/>
      <c r="F915" s="631"/>
      <c r="G915" s="631"/>
      <c r="H915" s="833"/>
      <c r="I915" s="834"/>
      <c r="J915" s="834"/>
      <c r="K915" s="835"/>
      <c r="L915" s="835"/>
      <c r="M915" s="835"/>
      <c r="N915" s="835"/>
      <c r="O915" s="835"/>
      <c r="P915" s="835"/>
      <c r="Q915" s="540"/>
      <c r="R915" s="540"/>
      <c r="S915" s="540"/>
      <c r="T915" s="540"/>
      <c r="U915" s="540"/>
      <c r="V915" s="540"/>
      <c r="W915" s="540"/>
      <c r="X915" s="540"/>
      <c r="Y915" s="540"/>
      <c r="Z915" s="540"/>
    </row>
    <row r="916" spans="1:26" ht="19">
      <c r="A916" s="631"/>
      <c r="B916" s="631"/>
      <c r="C916" s="631"/>
      <c r="D916" s="832"/>
      <c r="E916" s="631"/>
      <c r="F916" s="631"/>
      <c r="G916" s="631"/>
      <c r="H916" s="833"/>
      <c r="I916" s="834"/>
      <c r="J916" s="834"/>
      <c r="K916" s="835"/>
      <c r="L916" s="835"/>
      <c r="M916" s="835"/>
      <c r="N916" s="835"/>
      <c r="O916" s="835"/>
      <c r="P916" s="835"/>
      <c r="Q916" s="540"/>
      <c r="R916" s="540"/>
      <c r="S916" s="540"/>
      <c r="T916" s="540"/>
      <c r="U916" s="540"/>
      <c r="V916" s="540"/>
      <c r="W916" s="540"/>
      <c r="X916" s="540"/>
      <c r="Y916" s="540"/>
      <c r="Z916" s="540"/>
    </row>
    <row r="917" spans="1:26" ht="19">
      <c r="A917" s="631"/>
      <c r="B917" s="631"/>
      <c r="C917" s="631"/>
      <c r="D917" s="832"/>
      <c r="E917" s="631"/>
      <c r="F917" s="631"/>
      <c r="G917" s="631"/>
      <c r="H917" s="833"/>
      <c r="I917" s="834"/>
      <c r="J917" s="834"/>
      <c r="K917" s="835"/>
      <c r="L917" s="835"/>
      <c r="M917" s="835"/>
      <c r="N917" s="835"/>
      <c r="O917" s="835"/>
      <c r="P917" s="835"/>
      <c r="Q917" s="540"/>
      <c r="R917" s="540"/>
      <c r="S917" s="540"/>
      <c r="T917" s="540"/>
      <c r="U917" s="540"/>
      <c r="V917" s="540"/>
      <c r="W917" s="540"/>
      <c r="X917" s="540"/>
      <c r="Y917" s="540"/>
      <c r="Z917" s="540"/>
    </row>
    <row r="918" spans="1:26" ht="19">
      <c r="A918" s="631"/>
      <c r="B918" s="631"/>
      <c r="C918" s="631"/>
      <c r="D918" s="832"/>
      <c r="E918" s="631"/>
      <c r="F918" s="631"/>
      <c r="G918" s="631"/>
      <c r="H918" s="833"/>
      <c r="I918" s="834"/>
      <c r="J918" s="834"/>
      <c r="K918" s="835"/>
      <c r="L918" s="835"/>
      <c r="M918" s="835"/>
      <c r="N918" s="835"/>
      <c r="O918" s="835"/>
      <c r="P918" s="835"/>
      <c r="Q918" s="540"/>
      <c r="R918" s="540"/>
      <c r="S918" s="540"/>
      <c r="T918" s="540"/>
      <c r="U918" s="540"/>
      <c r="V918" s="540"/>
      <c r="W918" s="540"/>
      <c r="X918" s="540"/>
      <c r="Y918" s="540"/>
      <c r="Z918" s="540"/>
    </row>
    <row r="919" spans="1:26" ht="19">
      <c r="A919" s="631"/>
      <c r="B919" s="631"/>
      <c r="C919" s="631"/>
      <c r="D919" s="832"/>
      <c r="E919" s="631"/>
      <c r="F919" s="631"/>
      <c r="G919" s="631"/>
      <c r="H919" s="833"/>
      <c r="I919" s="834"/>
      <c r="J919" s="834"/>
      <c r="K919" s="835"/>
      <c r="L919" s="835"/>
      <c r="M919" s="835"/>
      <c r="N919" s="835"/>
      <c r="O919" s="835"/>
      <c r="P919" s="835"/>
      <c r="Q919" s="540"/>
      <c r="R919" s="540"/>
      <c r="S919" s="540"/>
      <c r="T919" s="540"/>
      <c r="U919" s="540"/>
      <c r="V919" s="540"/>
      <c r="W919" s="540"/>
      <c r="X919" s="540"/>
      <c r="Y919" s="540"/>
      <c r="Z919" s="540"/>
    </row>
    <row r="920" spans="1:26" ht="19">
      <c r="A920" s="631"/>
      <c r="B920" s="631"/>
      <c r="C920" s="631"/>
      <c r="D920" s="832"/>
      <c r="E920" s="631"/>
      <c r="F920" s="631"/>
      <c r="G920" s="631"/>
      <c r="H920" s="833"/>
      <c r="I920" s="834"/>
      <c r="J920" s="834"/>
      <c r="K920" s="835"/>
      <c r="L920" s="835"/>
      <c r="M920" s="835"/>
      <c r="N920" s="835"/>
      <c r="O920" s="835"/>
      <c r="P920" s="835"/>
      <c r="Q920" s="540"/>
      <c r="R920" s="540"/>
      <c r="S920" s="540"/>
      <c r="T920" s="540"/>
      <c r="U920" s="540"/>
      <c r="V920" s="540"/>
      <c r="W920" s="540"/>
      <c r="X920" s="540"/>
      <c r="Y920" s="540"/>
      <c r="Z920" s="540"/>
    </row>
    <row r="921" spans="1:26" ht="19">
      <c r="A921" s="631"/>
      <c r="B921" s="631"/>
      <c r="C921" s="631"/>
      <c r="D921" s="832"/>
      <c r="E921" s="631"/>
      <c r="F921" s="631"/>
      <c r="G921" s="631"/>
      <c r="H921" s="833"/>
      <c r="I921" s="834"/>
      <c r="J921" s="834"/>
      <c r="K921" s="835"/>
      <c r="L921" s="835"/>
      <c r="M921" s="835"/>
      <c r="N921" s="835"/>
      <c r="O921" s="835"/>
      <c r="P921" s="835"/>
      <c r="Q921" s="540"/>
      <c r="R921" s="540"/>
      <c r="S921" s="540"/>
      <c r="T921" s="540"/>
      <c r="U921" s="540"/>
      <c r="V921" s="540"/>
      <c r="W921" s="540"/>
      <c r="X921" s="540"/>
      <c r="Y921" s="540"/>
      <c r="Z921" s="540"/>
    </row>
    <row r="922" spans="1:26" ht="19">
      <c r="A922" s="631"/>
      <c r="B922" s="631"/>
      <c r="C922" s="631"/>
      <c r="D922" s="832"/>
      <c r="E922" s="631"/>
      <c r="F922" s="631"/>
      <c r="G922" s="631"/>
      <c r="H922" s="833"/>
      <c r="I922" s="834"/>
      <c r="J922" s="834"/>
      <c r="K922" s="835"/>
      <c r="L922" s="835"/>
      <c r="M922" s="835"/>
      <c r="N922" s="835"/>
      <c r="O922" s="835"/>
      <c r="P922" s="835"/>
      <c r="Q922" s="540"/>
      <c r="R922" s="540"/>
      <c r="S922" s="540"/>
      <c r="T922" s="540"/>
      <c r="U922" s="540"/>
      <c r="V922" s="540"/>
      <c r="W922" s="540"/>
      <c r="X922" s="540"/>
      <c r="Y922" s="540"/>
      <c r="Z922" s="540"/>
    </row>
    <row r="923" spans="1:26" ht="19">
      <c r="A923" s="631"/>
      <c r="B923" s="631"/>
      <c r="C923" s="631"/>
      <c r="D923" s="832"/>
      <c r="E923" s="631"/>
      <c r="F923" s="631"/>
      <c r="G923" s="631"/>
      <c r="H923" s="833"/>
      <c r="I923" s="834"/>
      <c r="J923" s="834"/>
      <c r="K923" s="835"/>
      <c r="L923" s="835"/>
      <c r="M923" s="835"/>
      <c r="N923" s="835"/>
      <c r="O923" s="835"/>
      <c r="P923" s="835"/>
      <c r="Q923" s="540"/>
      <c r="R923" s="540"/>
      <c r="S923" s="540"/>
      <c r="T923" s="540"/>
      <c r="U923" s="540"/>
      <c r="V923" s="540"/>
      <c r="W923" s="540"/>
      <c r="X923" s="540"/>
      <c r="Y923" s="540"/>
      <c r="Z923" s="540"/>
    </row>
    <row r="924" spans="1:26" ht="19">
      <c r="A924" s="631"/>
      <c r="B924" s="631"/>
      <c r="C924" s="631"/>
      <c r="D924" s="832"/>
      <c r="E924" s="631"/>
      <c r="F924" s="631"/>
      <c r="G924" s="631"/>
      <c r="H924" s="833"/>
      <c r="I924" s="834"/>
      <c r="J924" s="834"/>
      <c r="K924" s="835"/>
      <c r="L924" s="835"/>
      <c r="M924" s="835"/>
      <c r="N924" s="835"/>
      <c r="O924" s="835"/>
      <c r="P924" s="835"/>
      <c r="Q924" s="540"/>
      <c r="R924" s="540"/>
      <c r="S924" s="540"/>
      <c r="T924" s="540"/>
      <c r="U924" s="540"/>
      <c r="V924" s="540"/>
      <c r="W924" s="540"/>
      <c r="X924" s="540"/>
      <c r="Y924" s="540"/>
      <c r="Z924" s="540"/>
    </row>
    <row r="925" spans="1:26" ht="19">
      <c r="A925" s="631"/>
      <c r="B925" s="631"/>
      <c r="C925" s="631"/>
      <c r="D925" s="832"/>
      <c r="E925" s="631"/>
      <c r="F925" s="631"/>
      <c r="G925" s="631"/>
      <c r="H925" s="833"/>
      <c r="I925" s="834"/>
      <c r="J925" s="834"/>
      <c r="K925" s="835"/>
      <c r="L925" s="835"/>
      <c r="M925" s="835"/>
      <c r="N925" s="835"/>
      <c r="O925" s="835"/>
      <c r="P925" s="835"/>
      <c r="Q925" s="540"/>
      <c r="R925" s="540"/>
      <c r="S925" s="540"/>
      <c r="T925" s="540"/>
      <c r="U925" s="540"/>
      <c r="V925" s="540"/>
      <c r="W925" s="540"/>
      <c r="X925" s="540"/>
      <c r="Y925" s="540"/>
      <c r="Z925" s="540"/>
    </row>
    <row r="926" spans="1:26" ht="19">
      <c r="A926" s="631"/>
      <c r="B926" s="631"/>
      <c r="C926" s="631"/>
      <c r="D926" s="832"/>
      <c r="E926" s="631"/>
      <c r="F926" s="631"/>
      <c r="G926" s="631"/>
      <c r="H926" s="833"/>
      <c r="I926" s="834"/>
      <c r="J926" s="834"/>
      <c r="K926" s="835"/>
      <c r="L926" s="835"/>
      <c r="M926" s="835"/>
      <c r="N926" s="835"/>
      <c r="O926" s="835"/>
      <c r="P926" s="835"/>
      <c r="Q926" s="540"/>
      <c r="R926" s="540"/>
      <c r="S926" s="540"/>
      <c r="T926" s="540"/>
      <c r="U926" s="540"/>
      <c r="V926" s="540"/>
      <c r="W926" s="540"/>
      <c r="X926" s="540"/>
      <c r="Y926" s="540"/>
      <c r="Z926" s="540"/>
    </row>
    <row r="927" spans="1:26" ht="19">
      <c r="A927" s="631"/>
      <c r="B927" s="631"/>
      <c r="C927" s="631"/>
      <c r="D927" s="832"/>
      <c r="E927" s="631"/>
      <c r="F927" s="631"/>
      <c r="G927" s="631"/>
      <c r="H927" s="833"/>
      <c r="I927" s="834"/>
      <c r="J927" s="834"/>
      <c r="K927" s="835"/>
      <c r="L927" s="835"/>
      <c r="M927" s="835"/>
      <c r="N927" s="835"/>
      <c r="O927" s="835"/>
      <c r="P927" s="835"/>
      <c r="Q927" s="540"/>
      <c r="R927" s="540"/>
      <c r="S927" s="540"/>
      <c r="T927" s="540"/>
      <c r="U927" s="540"/>
      <c r="V927" s="540"/>
      <c r="W927" s="540"/>
      <c r="X927" s="540"/>
      <c r="Y927" s="540"/>
      <c r="Z927" s="540"/>
    </row>
    <row r="928" spans="1:26" ht="19">
      <c r="A928" s="631"/>
      <c r="B928" s="631"/>
      <c r="C928" s="631"/>
      <c r="D928" s="832"/>
      <c r="E928" s="631"/>
      <c r="F928" s="631"/>
      <c r="G928" s="631"/>
      <c r="H928" s="833"/>
      <c r="I928" s="834"/>
      <c r="J928" s="834"/>
      <c r="K928" s="835"/>
      <c r="L928" s="835"/>
      <c r="M928" s="835"/>
      <c r="N928" s="835"/>
      <c r="O928" s="835"/>
      <c r="P928" s="835"/>
      <c r="Q928" s="540"/>
      <c r="R928" s="540"/>
      <c r="S928" s="540"/>
      <c r="T928" s="540"/>
      <c r="U928" s="540"/>
      <c r="V928" s="540"/>
      <c r="W928" s="540"/>
      <c r="X928" s="540"/>
      <c r="Y928" s="540"/>
      <c r="Z928" s="540"/>
    </row>
    <row r="929" spans="1:26" ht="19">
      <c r="A929" s="631"/>
      <c r="B929" s="631"/>
      <c r="C929" s="631"/>
      <c r="D929" s="832"/>
      <c r="E929" s="631"/>
      <c r="F929" s="631"/>
      <c r="G929" s="631"/>
      <c r="H929" s="833"/>
      <c r="I929" s="834"/>
      <c r="J929" s="834"/>
      <c r="K929" s="835"/>
      <c r="L929" s="835"/>
      <c r="M929" s="835"/>
      <c r="N929" s="835"/>
      <c r="O929" s="835"/>
      <c r="P929" s="835"/>
      <c r="Q929" s="540"/>
      <c r="R929" s="540"/>
      <c r="S929" s="540"/>
      <c r="T929" s="540"/>
      <c r="U929" s="540"/>
      <c r="V929" s="540"/>
      <c r="W929" s="540"/>
      <c r="X929" s="540"/>
      <c r="Y929" s="540"/>
      <c r="Z929" s="540"/>
    </row>
    <row r="930" spans="1:26" ht="19">
      <c r="A930" s="631"/>
      <c r="B930" s="631"/>
      <c r="C930" s="631"/>
      <c r="D930" s="832"/>
      <c r="E930" s="631"/>
      <c r="F930" s="631"/>
      <c r="G930" s="631"/>
      <c r="H930" s="833"/>
      <c r="I930" s="834"/>
      <c r="J930" s="834"/>
      <c r="K930" s="835"/>
      <c r="L930" s="835"/>
      <c r="M930" s="835"/>
      <c r="N930" s="835"/>
      <c r="O930" s="835"/>
      <c r="P930" s="835"/>
      <c r="Q930" s="540"/>
      <c r="R930" s="540"/>
      <c r="S930" s="540"/>
      <c r="T930" s="540"/>
      <c r="U930" s="540"/>
      <c r="V930" s="540"/>
      <c r="W930" s="540"/>
      <c r="X930" s="540"/>
      <c r="Y930" s="540"/>
      <c r="Z930" s="540"/>
    </row>
    <row r="931" spans="1:26" ht="19">
      <c r="A931" s="631"/>
      <c r="B931" s="631"/>
      <c r="C931" s="631"/>
      <c r="D931" s="832"/>
      <c r="E931" s="631"/>
      <c r="F931" s="631"/>
      <c r="G931" s="631"/>
      <c r="H931" s="833"/>
      <c r="I931" s="834"/>
      <c r="J931" s="834"/>
      <c r="K931" s="835"/>
      <c r="L931" s="835"/>
      <c r="M931" s="835"/>
      <c r="N931" s="835"/>
      <c r="O931" s="835"/>
      <c r="P931" s="835"/>
      <c r="Q931" s="540"/>
      <c r="R931" s="540"/>
      <c r="S931" s="540"/>
      <c r="T931" s="540"/>
      <c r="U931" s="540"/>
      <c r="V931" s="540"/>
      <c r="W931" s="540"/>
      <c r="X931" s="540"/>
      <c r="Y931" s="540"/>
      <c r="Z931" s="540"/>
    </row>
    <row r="932" spans="1:26" ht="19">
      <c r="A932" s="631"/>
      <c r="B932" s="631"/>
      <c r="C932" s="631"/>
      <c r="D932" s="832"/>
      <c r="E932" s="631"/>
      <c r="F932" s="631"/>
      <c r="G932" s="631"/>
      <c r="H932" s="833"/>
      <c r="I932" s="834"/>
      <c r="J932" s="834"/>
      <c r="K932" s="835"/>
      <c r="L932" s="835"/>
      <c r="M932" s="835"/>
      <c r="N932" s="835"/>
      <c r="O932" s="835"/>
      <c r="P932" s="835"/>
      <c r="Q932" s="540"/>
      <c r="R932" s="540"/>
      <c r="S932" s="540"/>
      <c r="T932" s="540"/>
      <c r="U932" s="540"/>
      <c r="V932" s="540"/>
      <c r="W932" s="540"/>
      <c r="X932" s="540"/>
      <c r="Y932" s="540"/>
      <c r="Z932" s="540"/>
    </row>
    <row r="933" spans="1:26" ht="19">
      <c r="A933" s="631"/>
      <c r="B933" s="631"/>
      <c r="C933" s="631"/>
      <c r="D933" s="832"/>
      <c r="E933" s="631"/>
      <c r="F933" s="631"/>
      <c r="G933" s="631"/>
      <c r="H933" s="833"/>
      <c r="I933" s="834"/>
      <c r="J933" s="834"/>
      <c r="K933" s="835"/>
      <c r="L933" s="835"/>
      <c r="M933" s="835"/>
      <c r="N933" s="835"/>
      <c r="O933" s="835"/>
      <c r="P933" s="835"/>
      <c r="Q933" s="540"/>
      <c r="R933" s="540"/>
      <c r="S933" s="540"/>
      <c r="T933" s="540"/>
      <c r="U933" s="540"/>
      <c r="V933" s="540"/>
      <c r="W933" s="540"/>
      <c r="X933" s="540"/>
      <c r="Y933" s="540"/>
      <c r="Z933" s="540"/>
    </row>
    <row r="934" spans="1:26" ht="19">
      <c r="A934" s="631"/>
      <c r="B934" s="631"/>
      <c r="C934" s="631"/>
      <c r="D934" s="832"/>
      <c r="E934" s="631"/>
      <c r="F934" s="631"/>
      <c r="G934" s="631"/>
      <c r="H934" s="833"/>
      <c r="I934" s="834"/>
      <c r="J934" s="834"/>
      <c r="K934" s="835"/>
      <c r="L934" s="835"/>
      <c r="M934" s="835"/>
      <c r="N934" s="835"/>
      <c r="O934" s="835"/>
      <c r="P934" s="835"/>
      <c r="Q934" s="540"/>
      <c r="R934" s="540"/>
      <c r="S934" s="540"/>
      <c r="T934" s="540"/>
      <c r="U934" s="540"/>
      <c r="V934" s="540"/>
      <c r="W934" s="540"/>
      <c r="X934" s="540"/>
      <c r="Y934" s="540"/>
      <c r="Z934" s="540"/>
    </row>
    <row r="935" spans="1:26" ht="19">
      <c r="A935" s="631"/>
      <c r="B935" s="631"/>
      <c r="C935" s="631"/>
      <c r="D935" s="832"/>
      <c r="E935" s="631"/>
      <c r="F935" s="631"/>
      <c r="G935" s="631"/>
      <c r="H935" s="833"/>
      <c r="I935" s="834"/>
      <c r="J935" s="834"/>
      <c r="K935" s="835"/>
      <c r="L935" s="835"/>
      <c r="M935" s="835"/>
      <c r="N935" s="835"/>
      <c r="O935" s="835"/>
      <c r="P935" s="835"/>
      <c r="Q935" s="540"/>
      <c r="R935" s="540"/>
      <c r="S935" s="540"/>
      <c r="T935" s="540"/>
      <c r="U935" s="540"/>
      <c r="V935" s="540"/>
      <c r="W935" s="540"/>
      <c r="X935" s="540"/>
      <c r="Y935" s="540"/>
      <c r="Z935" s="540"/>
    </row>
    <row r="936" spans="1:26" ht="19">
      <c r="A936" s="631"/>
      <c r="B936" s="631"/>
      <c r="C936" s="631"/>
      <c r="D936" s="832"/>
      <c r="E936" s="631"/>
      <c r="F936" s="631"/>
      <c r="G936" s="631"/>
      <c r="H936" s="833"/>
      <c r="I936" s="834"/>
      <c r="J936" s="834"/>
      <c r="K936" s="835"/>
      <c r="L936" s="835"/>
      <c r="M936" s="835"/>
      <c r="N936" s="835"/>
      <c r="O936" s="835"/>
      <c r="P936" s="835"/>
      <c r="Q936" s="540"/>
      <c r="R936" s="540"/>
      <c r="S936" s="540"/>
      <c r="T936" s="540"/>
      <c r="U936" s="540"/>
      <c r="V936" s="540"/>
      <c r="W936" s="540"/>
      <c r="X936" s="540"/>
      <c r="Y936" s="540"/>
      <c r="Z936" s="540"/>
    </row>
    <row r="937" spans="1:26" ht="19">
      <c r="A937" s="631"/>
      <c r="B937" s="631"/>
      <c r="C937" s="631"/>
      <c r="D937" s="832"/>
      <c r="E937" s="631"/>
      <c r="F937" s="631"/>
      <c r="G937" s="631"/>
      <c r="H937" s="833"/>
      <c r="I937" s="834"/>
      <c r="J937" s="834"/>
      <c r="K937" s="835"/>
      <c r="L937" s="835"/>
      <c r="M937" s="835"/>
      <c r="N937" s="835"/>
      <c r="O937" s="835"/>
      <c r="P937" s="835"/>
      <c r="Q937" s="540"/>
      <c r="R937" s="540"/>
      <c r="S937" s="540"/>
      <c r="T937" s="540"/>
      <c r="U937" s="540"/>
      <c r="V937" s="540"/>
      <c r="W937" s="540"/>
      <c r="X937" s="540"/>
      <c r="Y937" s="540"/>
      <c r="Z937" s="540"/>
    </row>
    <row r="938" spans="1:26" ht="19">
      <c r="A938" s="631"/>
      <c r="B938" s="631"/>
      <c r="C938" s="631"/>
      <c r="D938" s="832"/>
      <c r="E938" s="631"/>
      <c r="F938" s="631"/>
      <c r="G938" s="631"/>
      <c r="H938" s="833"/>
      <c r="I938" s="834"/>
      <c r="J938" s="834"/>
      <c r="K938" s="835"/>
      <c r="L938" s="835"/>
      <c r="M938" s="835"/>
      <c r="N938" s="835"/>
      <c r="O938" s="835"/>
      <c r="P938" s="835"/>
      <c r="Q938" s="540"/>
      <c r="R938" s="540"/>
      <c r="S938" s="540"/>
      <c r="T938" s="540"/>
      <c r="U938" s="540"/>
      <c r="V938" s="540"/>
      <c r="W938" s="540"/>
      <c r="X938" s="540"/>
      <c r="Y938" s="540"/>
      <c r="Z938" s="540"/>
    </row>
    <row r="939" spans="1:26" ht="19">
      <c r="A939" s="631"/>
      <c r="B939" s="631"/>
      <c r="C939" s="631"/>
      <c r="D939" s="832"/>
      <c r="E939" s="631"/>
      <c r="F939" s="631"/>
      <c r="G939" s="631"/>
      <c r="H939" s="833"/>
      <c r="I939" s="834"/>
      <c r="J939" s="834"/>
      <c r="K939" s="835"/>
      <c r="L939" s="835"/>
      <c r="M939" s="835"/>
      <c r="N939" s="835"/>
      <c r="O939" s="835"/>
      <c r="P939" s="835"/>
      <c r="Q939" s="540"/>
      <c r="R939" s="540"/>
      <c r="S939" s="540"/>
      <c r="T939" s="540"/>
      <c r="U939" s="540"/>
      <c r="V939" s="540"/>
      <c r="W939" s="540"/>
      <c r="X939" s="540"/>
      <c r="Y939" s="540"/>
      <c r="Z939" s="540"/>
    </row>
    <row r="940" spans="1:26" ht="19">
      <c r="A940" s="631"/>
      <c r="B940" s="631"/>
      <c r="C940" s="631"/>
      <c r="D940" s="832"/>
      <c r="E940" s="631"/>
      <c r="F940" s="631"/>
      <c r="G940" s="631"/>
      <c r="H940" s="833"/>
      <c r="I940" s="834"/>
      <c r="J940" s="834"/>
      <c r="K940" s="835"/>
      <c r="L940" s="835"/>
      <c r="M940" s="835"/>
      <c r="N940" s="835"/>
      <c r="O940" s="835"/>
      <c r="P940" s="835"/>
      <c r="Q940" s="540"/>
      <c r="R940" s="540"/>
      <c r="S940" s="540"/>
      <c r="T940" s="540"/>
      <c r="U940" s="540"/>
      <c r="V940" s="540"/>
      <c r="W940" s="540"/>
      <c r="X940" s="540"/>
      <c r="Y940" s="540"/>
      <c r="Z940" s="540"/>
    </row>
    <row r="941" spans="1:26" ht="19">
      <c r="A941" s="631"/>
      <c r="B941" s="631"/>
      <c r="C941" s="631"/>
      <c r="D941" s="832"/>
      <c r="E941" s="631"/>
      <c r="F941" s="631"/>
      <c r="G941" s="631"/>
      <c r="H941" s="833"/>
      <c r="I941" s="834"/>
      <c r="J941" s="834"/>
      <c r="K941" s="835"/>
      <c r="L941" s="835"/>
      <c r="M941" s="835"/>
      <c r="N941" s="835"/>
      <c r="O941" s="835"/>
      <c r="P941" s="835"/>
      <c r="Q941" s="540"/>
      <c r="R941" s="540"/>
      <c r="S941" s="540"/>
      <c r="T941" s="540"/>
      <c r="U941" s="540"/>
      <c r="V941" s="540"/>
      <c r="W941" s="540"/>
      <c r="X941" s="540"/>
      <c r="Y941" s="540"/>
      <c r="Z941" s="540"/>
    </row>
    <row r="942" spans="1:26" ht="19">
      <c r="A942" s="631"/>
      <c r="B942" s="631"/>
      <c r="C942" s="631"/>
      <c r="D942" s="832"/>
      <c r="E942" s="631"/>
      <c r="F942" s="631"/>
      <c r="G942" s="631"/>
      <c r="H942" s="833"/>
      <c r="I942" s="834"/>
      <c r="J942" s="834"/>
      <c r="K942" s="835"/>
      <c r="L942" s="835"/>
      <c r="M942" s="835"/>
      <c r="N942" s="835"/>
      <c r="O942" s="835"/>
      <c r="P942" s="835"/>
      <c r="Q942" s="540"/>
      <c r="R942" s="540"/>
      <c r="S942" s="540"/>
      <c r="T942" s="540"/>
      <c r="U942" s="540"/>
      <c r="V942" s="540"/>
      <c r="W942" s="540"/>
      <c r="X942" s="540"/>
      <c r="Y942" s="540"/>
      <c r="Z942" s="540"/>
    </row>
    <row r="943" spans="1:26" ht="19">
      <c r="A943" s="631"/>
      <c r="B943" s="631"/>
      <c r="C943" s="631"/>
      <c r="D943" s="832"/>
      <c r="E943" s="631"/>
      <c r="F943" s="631"/>
      <c r="G943" s="631"/>
      <c r="H943" s="833"/>
      <c r="I943" s="834"/>
      <c r="J943" s="834"/>
      <c r="K943" s="835"/>
      <c r="L943" s="835"/>
      <c r="M943" s="835"/>
      <c r="N943" s="835"/>
      <c r="O943" s="835"/>
      <c r="P943" s="835"/>
      <c r="Q943" s="540"/>
      <c r="R943" s="540"/>
      <c r="S943" s="540"/>
      <c r="T943" s="540"/>
      <c r="U943" s="540"/>
      <c r="V943" s="540"/>
      <c r="W943" s="540"/>
      <c r="X943" s="540"/>
      <c r="Y943" s="540"/>
      <c r="Z943" s="540"/>
    </row>
    <row r="944" spans="1:26" ht="19">
      <c r="A944" s="631"/>
      <c r="B944" s="631"/>
      <c r="C944" s="631"/>
      <c r="D944" s="832"/>
      <c r="E944" s="631"/>
      <c r="F944" s="631"/>
      <c r="G944" s="631"/>
      <c r="H944" s="833"/>
      <c r="I944" s="834"/>
      <c r="J944" s="834"/>
      <c r="K944" s="835"/>
      <c r="L944" s="835"/>
      <c r="M944" s="835"/>
      <c r="N944" s="835"/>
      <c r="O944" s="835"/>
      <c r="P944" s="835"/>
      <c r="Q944" s="540"/>
      <c r="R944" s="540"/>
      <c r="S944" s="540"/>
      <c r="T944" s="540"/>
      <c r="U944" s="540"/>
      <c r="V944" s="540"/>
      <c r="W944" s="540"/>
      <c r="X944" s="540"/>
      <c r="Y944" s="540"/>
      <c r="Z944" s="540"/>
    </row>
    <row r="945" spans="1:26" ht="19">
      <c r="A945" s="631"/>
      <c r="B945" s="631"/>
      <c r="C945" s="631"/>
      <c r="D945" s="832"/>
      <c r="E945" s="631"/>
      <c r="F945" s="631"/>
      <c r="G945" s="631"/>
      <c r="H945" s="833"/>
      <c r="I945" s="834"/>
      <c r="J945" s="834"/>
      <c r="K945" s="835"/>
      <c r="L945" s="835"/>
      <c r="M945" s="835"/>
      <c r="N945" s="835"/>
      <c r="O945" s="835"/>
      <c r="P945" s="835"/>
      <c r="Q945" s="540"/>
      <c r="R945" s="540"/>
      <c r="S945" s="540"/>
      <c r="T945" s="540"/>
      <c r="U945" s="540"/>
      <c r="V945" s="540"/>
      <c r="W945" s="540"/>
      <c r="X945" s="540"/>
      <c r="Y945" s="540"/>
      <c r="Z945" s="540"/>
    </row>
    <row r="946" spans="1:26" ht="19">
      <c r="A946" s="631"/>
      <c r="B946" s="631"/>
      <c r="C946" s="631"/>
      <c r="D946" s="832"/>
      <c r="E946" s="631"/>
      <c r="F946" s="631"/>
      <c r="G946" s="631"/>
      <c r="H946" s="833"/>
      <c r="I946" s="834"/>
      <c r="J946" s="834"/>
      <c r="K946" s="835"/>
      <c r="L946" s="835"/>
      <c r="M946" s="835"/>
      <c r="N946" s="835"/>
      <c r="O946" s="835"/>
      <c r="P946" s="835"/>
      <c r="Q946" s="540"/>
      <c r="R946" s="540"/>
      <c r="S946" s="540"/>
      <c r="T946" s="540"/>
      <c r="U946" s="540"/>
      <c r="V946" s="540"/>
      <c r="W946" s="540"/>
      <c r="X946" s="540"/>
      <c r="Y946" s="540"/>
      <c r="Z946" s="540"/>
    </row>
    <row r="947" spans="1:26" ht="19">
      <c r="A947" s="631"/>
      <c r="B947" s="631"/>
      <c r="C947" s="631"/>
      <c r="D947" s="832"/>
      <c r="E947" s="631"/>
      <c r="F947" s="631"/>
      <c r="G947" s="631"/>
      <c r="H947" s="833"/>
      <c r="I947" s="834"/>
      <c r="J947" s="834"/>
      <c r="K947" s="835"/>
      <c r="L947" s="835"/>
      <c r="M947" s="835"/>
      <c r="N947" s="835"/>
      <c r="O947" s="835"/>
      <c r="P947" s="835"/>
      <c r="Q947" s="540"/>
      <c r="R947" s="540"/>
      <c r="S947" s="540"/>
      <c r="T947" s="540"/>
      <c r="U947" s="540"/>
      <c r="V947" s="540"/>
      <c r="W947" s="540"/>
      <c r="X947" s="540"/>
      <c r="Y947" s="540"/>
      <c r="Z947" s="540"/>
    </row>
    <row r="948" spans="1:26" ht="19">
      <c r="A948" s="631"/>
      <c r="B948" s="631"/>
      <c r="C948" s="631"/>
      <c r="D948" s="832"/>
      <c r="E948" s="631"/>
      <c r="F948" s="631"/>
      <c r="G948" s="631"/>
      <c r="H948" s="833"/>
      <c r="I948" s="834"/>
      <c r="J948" s="834"/>
      <c r="K948" s="835"/>
      <c r="L948" s="835"/>
      <c r="M948" s="835"/>
      <c r="N948" s="835"/>
      <c r="O948" s="835"/>
      <c r="P948" s="835"/>
      <c r="Q948" s="540"/>
      <c r="R948" s="540"/>
      <c r="S948" s="540"/>
      <c r="T948" s="540"/>
      <c r="U948" s="540"/>
      <c r="V948" s="540"/>
      <c r="W948" s="540"/>
      <c r="X948" s="540"/>
      <c r="Y948" s="540"/>
      <c r="Z948" s="540"/>
    </row>
    <row r="949" spans="1:26" ht="19">
      <c r="A949" s="631"/>
      <c r="B949" s="631"/>
      <c r="C949" s="631"/>
      <c r="D949" s="832"/>
      <c r="E949" s="631"/>
      <c r="F949" s="631"/>
      <c r="G949" s="631"/>
      <c r="H949" s="833"/>
      <c r="I949" s="834"/>
      <c r="J949" s="834"/>
      <c r="K949" s="835"/>
      <c r="L949" s="835"/>
      <c r="M949" s="835"/>
      <c r="N949" s="835"/>
      <c r="O949" s="835"/>
      <c r="P949" s="835"/>
      <c r="Q949" s="540"/>
      <c r="R949" s="540"/>
      <c r="S949" s="540"/>
      <c r="T949" s="540"/>
      <c r="U949" s="540"/>
      <c r="V949" s="540"/>
      <c r="W949" s="540"/>
      <c r="X949" s="540"/>
      <c r="Y949" s="540"/>
      <c r="Z949" s="540"/>
    </row>
    <row r="950" spans="1:26" ht="19">
      <c r="A950" s="631"/>
      <c r="B950" s="631"/>
      <c r="C950" s="631"/>
      <c r="D950" s="832"/>
      <c r="E950" s="631"/>
      <c r="F950" s="631"/>
      <c r="G950" s="631"/>
      <c r="H950" s="833"/>
      <c r="I950" s="834"/>
      <c r="J950" s="834"/>
      <c r="K950" s="835"/>
      <c r="L950" s="835"/>
      <c r="M950" s="835"/>
      <c r="N950" s="835"/>
      <c r="O950" s="835"/>
      <c r="P950" s="835"/>
      <c r="Q950" s="540"/>
      <c r="R950" s="540"/>
      <c r="S950" s="540"/>
      <c r="T950" s="540"/>
      <c r="U950" s="540"/>
      <c r="V950" s="540"/>
      <c r="W950" s="540"/>
      <c r="X950" s="540"/>
      <c r="Y950" s="540"/>
      <c r="Z950" s="540"/>
    </row>
    <row r="951" spans="1:26" ht="19">
      <c r="A951" s="631"/>
      <c r="B951" s="631"/>
      <c r="C951" s="631"/>
      <c r="D951" s="832"/>
      <c r="E951" s="631"/>
      <c r="F951" s="631"/>
      <c r="G951" s="631"/>
      <c r="H951" s="833"/>
      <c r="I951" s="834"/>
      <c r="J951" s="834"/>
      <c r="K951" s="835"/>
      <c r="L951" s="835"/>
      <c r="M951" s="835"/>
      <c r="N951" s="835"/>
      <c r="O951" s="835"/>
      <c r="P951" s="835"/>
      <c r="Q951" s="540"/>
      <c r="R951" s="540"/>
      <c r="S951" s="540"/>
      <c r="T951" s="540"/>
      <c r="U951" s="540"/>
      <c r="V951" s="540"/>
      <c r="W951" s="540"/>
      <c r="X951" s="540"/>
      <c r="Y951" s="540"/>
      <c r="Z951" s="540"/>
    </row>
    <row r="952" spans="1:26" ht="19">
      <c r="A952" s="631"/>
      <c r="B952" s="631"/>
      <c r="C952" s="631"/>
      <c r="D952" s="832"/>
      <c r="E952" s="631"/>
      <c r="F952" s="631"/>
      <c r="G952" s="631"/>
      <c r="H952" s="833"/>
      <c r="I952" s="834"/>
      <c r="J952" s="834"/>
      <c r="K952" s="835"/>
      <c r="L952" s="835"/>
      <c r="M952" s="835"/>
      <c r="N952" s="835"/>
      <c r="O952" s="835"/>
      <c r="P952" s="835"/>
      <c r="Q952" s="540"/>
      <c r="R952" s="540"/>
      <c r="S952" s="540"/>
      <c r="T952" s="540"/>
      <c r="U952" s="540"/>
      <c r="V952" s="540"/>
      <c r="W952" s="540"/>
      <c r="X952" s="540"/>
      <c r="Y952" s="540"/>
      <c r="Z952" s="540"/>
    </row>
    <row r="953" spans="1:26" ht="19">
      <c r="A953" s="631"/>
      <c r="B953" s="631"/>
      <c r="C953" s="631"/>
      <c r="D953" s="832"/>
      <c r="E953" s="631"/>
      <c r="F953" s="631"/>
      <c r="G953" s="631"/>
      <c r="H953" s="833"/>
      <c r="I953" s="834"/>
      <c r="J953" s="834"/>
      <c r="K953" s="835"/>
      <c r="L953" s="835"/>
      <c r="M953" s="835"/>
      <c r="N953" s="835"/>
      <c r="O953" s="835"/>
      <c r="P953" s="835"/>
      <c r="Q953" s="540"/>
      <c r="R953" s="540"/>
      <c r="S953" s="540"/>
      <c r="T953" s="540"/>
      <c r="U953" s="540"/>
      <c r="V953" s="540"/>
      <c r="W953" s="540"/>
      <c r="X953" s="540"/>
      <c r="Y953" s="540"/>
      <c r="Z953" s="540"/>
    </row>
    <row r="954" spans="1:26" ht="19">
      <c r="A954" s="631"/>
      <c r="B954" s="631"/>
      <c r="C954" s="631"/>
      <c r="D954" s="832"/>
      <c r="E954" s="631"/>
      <c r="F954" s="631"/>
      <c r="G954" s="631"/>
      <c r="H954" s="833"/>
      <c r="I954" s="834"/>
      <c r="J954" s="834"/>
      <c r="K954" s="835"/>
      <c r="L954" s="835"/>
      <c r="M954" s="835"/>
      <c r="N954" s="835"/>
      <c r="O954" s="835"/>
      <c r="P954" s="835"/>
      <c r="Q954" s="540"/>
      <c r="R954" s="540"/>
      <c r="S954" s="540"/>
      <c r="T954" s="540"/>
      <c r="U954" s="540"/>
      <c r="V954" s="540"/>
      <c r="W954" s="540"/>
      <c r="X954" s="540"/>
      <c r="Y954" s="540"/>
      <c r="Z954" s="540"/>
    </row>
    <row r="955" spans="1:26" ht="19">
      <c r="A955" s="631"/>
      <c r="B955" s="631"/>
      <c r="C955" s="631"/>
      <c r="D955" s="832"/>
      <c r="E955" s="631"/>
      <c r="F955" s="631"/>
      <c r="G955" s="631"/>
      <c r="H955" s="833"/>
      <c r="I955" s="834"/>
      <c r="J955" s="834"/>
      <c r="K955" s="835"/>
      <c r="L955" s="835"/>
      <c r="M955" s="835"/>
      <c r="N955" s="835"/>
      <c r="O955" s="835"/>
      <c r="P955" s="835"/>
      <c r="Q955" s="540"/>
      <c r="R955" s="540"/>
      <c r="S955" s="540"/>
      <c r="T955" s="540"/>
      <c r="U955" s="540"/>
      <c r="V955" s="540"/>
      <c r="W955" s="540"/>
      <c r="X955" s="540"/>
      <c r="Y955" s="540"/>
      <c r="Z955" s="540"/>
    </row>
    <row r="956" spans="1:26" ht="19">
      <c r="A956" s="631"/>
      <c r="B956" s="631"/>
      <c r="C956" s="631"/>
      <c r="D956" s="832"/>
      <c r="E956" s="631"/>
      <c r="F956" s="631"/>
      <c r="G956" s="631"/>
      <c r="H956" s="833"/>
      <c r="I956" s="834"/>
      <c r="J956" s="834"/>
      <c r="K956" s="835"/>
      <c r="L956" s="835"/>
      <c r="M956" s="835"/>
      <c r="N956" s="835"/>
      <c r="O956" s="835"/>
      <c r="P956" s="835"/>
      <c r="Q956" s="540"/>
      <c r="R956" s="540"/>
      <c r="S956" s="540"/>
      <c r="T956" s="540"/>
      <c r="U956" s="540"/>
      <c r="V956" s="540"/>
      <c r="W956" s="540"/>
      <c r="X956" s="540"/>
      <c r="Y956" s="540"/>
      <c r="Z956" s="540"/>
    </row>
    <row r="957" spans="1:26" ht="19">
      <c r="A957" s="631"/>
      <c r="B957" s="631"/>
      <c r="C957" s="631"/>
      <c r="D957" s="832"/>
      <c r="E957" s="631"/>
      <c r="F957" s="631"/>
      <c r="G957" s="631"/>
      <c r="H957" s="833"/>
      <c r="I957" s="834"/>
      <c r="J957" s="834"/>
      <c r="K957" s="835"/>
      <c r="L957" s="835"/>
      <c r="M957" s="835"/>
      <c r="N957" s="835"/>
      <c r="O957" s="835"/>
      <c r="P957" s="835"/>
      <c r="Q957" s="540"/>
      <c r="R957" s="540"/>
      <c r="S957" s="540"/>
      <c r="T957" s="540"/>
      <c r="U957" s="540"/>
      <c r="V957" s="540"/>
      <c r="W957" s="540"/>
      <c r="X957" s="540"/>
      <c r="Y957" s="540"/>
      <c r="Z957" s="540"/>
    </row>
    <row r="958" spans="1:26" ht="19">
      <c r="A958" s="631"/>
      <c r="B958" s="631"/>
      <c r="C958" s="631"/>
      <c r="D958" s="832"/>
      <c r="E958" s="631"/>
      <c r="F958" s="631"/>
      <c r="G958" s="631"/>
      <c r="H958" s="833"/>
      <c r="I958" s="834"/>
      <c r="J958" s="834"/>
      <c r="K958" s="835"/>
      <c r="L958" s="835"/>
      <c r="M958" s="835"/>
      <c r="N958" s="835"/>
      <c r="O958" s="835"/>
      <c r="P958" s="835"/>
      <c r="Q958" s="540"/>
      <c r="R958" s="540"/>
      <c r="S958" s="540"/>
      <c r="T958" s="540"/>
      <c r="U958" s="540"/>
      <c r="V958" s="540"/>
      <c r="W958" s="540"/>
      <c r="X958" s="540"/>
      <c r="Y958" s="540"/>
      <c r="Z958" s="540"/>
    </row>
    <row r="959" spans="1:26" ht="19">
      <c r="A959" s="631"/>
      <c r="B959" s="631"/>
      <c r="C959" s="631"/>
      <c r="D959" s="832"/>
      <c r="E959" s="631"/>
      <c r="F959" s="631"/>
      <c r="G959" s="631"/>
      <c r="H959" s="833"/>
      <c r="I959" s="834"/>
      <c r="J959" s="834"/>
      <c r="K959" s="835"/>
      <c r="L959" s="835"/>
      <c r="M959" s="835"/>
      <c r="N959" s="835"/>
      <c r="O959" s="835"/>
      <c r="P959" s="835"/>
      <c r="Q959" s="540"/>
      <c r="R959" s="540"/>
      <c r="S959" s="540"/>
      <c r="T959" s="540"/>
      <c r="U959" s="540"/>
      <c r="V959" s="540"/>
      <c r="W959" s="540"/>
      <c r="X959" s="540"/>
      <c r="Y959" s="540"/>
      <c r="Z959" s="540"/>
    </row>
    <row r="960" spans="1:26" ht="19">
      <c r="A960" s="631"/>
      <c r="B960" s="631"/>
      <c r="C960" s="631"/>
      <c r="D960" s="832"/>
      <c r="E960" s="631"/>
      <c r="F960" s="631"/>
      <c r="G960" s="631"/>
      <c r="H960" s="833"/>
      <c r="I960" s="834"/>
      <c r="J960" s="834"/>
      <c r="K960" s="835"/>
      <c r="L960" s="835"/>
      <c r="M960" s="835"/>
      <c r="N960" s="835"/>
      <c r="O960" s="835"/>
      <c r="P960" s="835"/>
      <c r="Q960" s="540"/>
      <c r="R960" s="540"/>
      <c r="S960" s="540"/>
      <c r="T960" s="540"/>
      <c r="U960" s="540"/>
      <c r="V960" s="540"/>
      <c r="W960" s="540"/>
      <c r="X960" s="540"/>
      <c r="Y960" s="540"/>
      <c r="Z960" s="540"/>
    </row>
    <row r="961" spans="1:26" ht="19">
      <c r="A961" s="631"/>
      <c r="B961" s="631"/>
      <c r="C961" s="631"/>
      <c r="D961" s="832"/>
      <c r="E961" s="631"/>
      <c r="F961" s="631"/>
      <c r="G961" s="631"/>
      <c r="H961" s="833"/>
      <c r="I961" s="834"/>
      <c r="J961" s="834"/>
      <c r="K961" s="835"/>
      <c r="L961" s="835"/>
      <c r="M961" s="835"/>
      <c r="N961" s="835"/>
      <c r="O961" s="835"/>
      <c r="P961" s="835"/>
      <c r="Q961" s="540"/>
      <c r="R961" s="540"/>
      <c r="S961" s="540"/>
      <c r="T961" s="540"/>
      <c r="U961" s="540"/>
      <c r="V961" s="540"/>
      <c r="W961" s="540"/>
      <c r="X961" s="540"/>
      <c r="Y961" s="540"/>
      <c r="Z961" s="540"/>
    </row>
    <row r="962" spans="1:26" ht="19">
      <c r="A962" s="631"/>
      <c r="B962" s="631"/>
      <c r="C962" s="631"/>
      <c r="D962" s="832"/>
      <c r="E962" s="631"/>
      <c r="F962" s="631"/>
      <c r="G962" s="631"/>
      <c r="H962" s="833"/>
      <c r="I962" s="834"/>
      <c r="J962" s="834"/>
      <c r="K962" s="835"/>
      <c r="L962" s="835"/>
      <c r="M962" s="835"/>
      <c r="N962" s="835"/>
      <c r="O962" s="835"/>
      <c r="P962" s="835"/>
      <c r="Q962" s="540"/>
      <c r="R962" s="540"/>
      <c r="S962" s="540"/>
      <c r="T962" s="540"/>
      <c r="U962" s="540"/>
      <c r="V962" s="540"/>
      <c r="W962" s="540"/>
      <c r="X962" s="540"/>
      <c r="Y962" s="540"/>
      <c r="Z962" s="540"/>
    </row>
    <row r="963" spans="1:26" ht="19">
      <c r="A963" s="631"/>
      <c r="B963" s="631"/>
      <c r="C963" s="631"/>
      <c r="D963" s="832"/>
      <c r="E963" s="631"/>
      <c r="F963" s="631"/>
      <c r="G963" s="631"/>
      <c r="H963" s="833"/>
      <c r="I963" s="834"/>
      <c r="J963" s="834"/>
      <c r="K963" s="835"/>
      <c r="L963" s="835"/>
      <c r="M963" s="835"/>
      <c r="N963" s="835"/>
      <c r="O963" s="835"/>
      <c r="P963" s="835"/>
      <c r="Q963" s="540"/>
      <c r="R963" s="540"/>
      <c r="S963" s="540"/>
      <c r="T963" s="540"/>
      <c r="U963" s="540"/>
      <c r="V963" s="540"/>
      <c r="W963" s="540"/>
      <c r="X963" s="540"/>
      <c r="Y963" s="540"/>
      <c r="Z963" s="540"/>
    </row>
    <row r="964" spans="1:26" ht="19">
      <c r="A964" s="631"/>
      <c r="B964" s="631"/>
      <c r="C964" s="631"/>
      <c r="D964" s="832"/>
      <c r="E964" s="631"/>
      <c r="F964" s="631"/>
      <c r="G964" s="631"/>
      <c r="H964" s="833"/>
      <c r="I964" s="834"/>
      <c r="J964" s="834"/>
      <c r="K964" s="835"/>
      <c r="L964" s="835"/>
      <c r="M964" s="835"/>
      <c r="N964" s="835"/>
      <c r="O964" s="835"/>
      <c r="P964" s="835"/>
      <c r="Q964" s="540"/>
      <c r="R964" s="540"/>
      <c r="S964" s="540"/>
      <c r="T964" s="540"/>
      <c r="U964" s="540"/>
      <c r="V964" s="540"/>
      <c r="W964" s="540"/>
      <c r="X964" s="540"/>
      <c r="Y964" s="540"/>
      <c r="Z964" s="540"/>
    </row>
    <row r="965" spans="1:26" ht="19">
      <c r="A965" s="631"/>
      <c r="B965" s="631"/>
      <c r="C965" s="631"/>
      <c r="D965" s="832"/>
      <c r="E965" s="631"/>
      <c r="F965" s="631"/>
      <c r="G965" s="631"/>
      <c r="H965" s="833"/>
      <c r="I965" s="834"/>
      <c r="J965" s="834"/>
      <c r="K965" s="835"/>
      <c r="L965" s="835"/>
      <c r="M965" s="835"/>
      <c r="N965" s="835"/>
      <c r="O965" s="835"/>
      <c r="P965" s="835"/>
      <c r="Q965" s="540"/>
      <c r="R965" s="540"/>
      <c r="S965" s="540"/>
      <c r="T965" s="540"/>
      <c r="U965" s="540"/>
      <c r="V965" s="540"/>
      <c r="W965" s="540"/>
      <c r="X965" s="540"/>
      <c r="Y965" s="540"/>
      <c r="Z965" s="540"/>
    </row>
    <row r="966" spans="1:26" ht="19">
      <c r="A966" s="631"/>
      <c r="B966" s="631"/>
      <c r="C966" s="631"/>
      <c r="D966" s="832"/>
      <c r="E966" s="631"/>
      <c r="F966" s="631"/>
      <c r="G966" s="631"/>
      <c r="H966" s="833"/>
      <c r="I966" s="834"/>
      <c r="J966" s="834"/>
      <c r="K966" s="835"/>
      <c r="L966" s="835"/>
      <c r="M966" s="835"/>
      <c r="N966" s="835"/>
      <c r="O966" s="835"/>
      <c r="P966" s="835"/>
      <c r="Q966" s="540"/>
      <c r="R966" s="540"/>
      <c r="S966" s="540"/>
      <c r="T966" s="540"/>
      <c r="U966" s="540"/>
      <c r="V966" s="540"/>
      <c r="W966" s="540"/>
      <c r="X966" s="540"/>
      <c r="Y966" s="540"/>
      <c r="Z966" s="540"/>
    </row>
    <row r="967" spans="1:26" ht="19">
      <c r="A967" s="631"/>
      <c r="B967" s="631"/>
      <c r="C967" s="631"/>
      <c r="D967" s="832"/>
      <c r="E967" s="631"/>
      <c r="F967" s="631"/>
      <c r="G967" s="631"/>
      <c r="H967" s="833"/>
      <c r="I967" s="834"/>
      <c r="J967" s="834"/>
      <c r="K967" s="835"/>
      <c r="L967" s="835"/>
      <c r="M967" s="835"/>
      <c r="N967" s="835"/>
      <c r="O967" s="835"/>
      <c r="P967" s="835"/>
      <c r="Q967" s="540"/>
      <c r="R967" s="540"/>
      <c r="S967" s="540"/>
      <c r="T967" s="540"/>
      <c r="U967" s="540"/>
      <c r="V967" s="540"/>
      <c r="W967" s="540"/>
      <c r="X967" s="540"/>
      <c r="Y967" s="540"/>
      <c r="Z967" s="540"/>
    </row>
    <row r="968" spans="1:26" ht="19">
      <c r="A968" s="631"/>
      <c r="B968" s="631"/>
      <c r="C968" s="631"/>
      <c r="D968" s="832"/>
      <c r="E968" s="631"/>
      <c r="F968" s="631"/>
      <c r="G968" s="631"/>
      <c r="H968" s="833"/>
      <c r="I968" s="834"/>
      <c r="J968" s="834"/>
      <c r="K968" s="835"/>
      <c r="L968" s="835"/>
      <c r="M968" s="835"/>
      <c r="N968" s="835"/>
      <c r="O968" s="835"/>
      <c r="P968" s="835"/>
      <c r="Q968" s="540"/>
      <c r="R968" s="540"/>
      <c r="S968" s="540"/>
      <c r="T968" s="540"/>
      <c r="U968" s="540"/>
      <c r="V968" s="540"/>
      <c r="W968" s="540"/>
      <c r="X968" s="540"/>
      <c r="Y968" s="540"/>
      <c r="Z968" s="540"/>
    </row>
    <row r="969" spans="1:26" ht="19">
      <c r="A969" s="631"/>
      <c r="B969" s="631"/>
      <c r="C969" s="631"/>
      <c r="D969" s="832"/>
      <c r="E969" s="631"/>
      <c r="F969" s="631"/>
      <c r="G969" s="631"/>
      <c r="H969" s="833"/>
      <c r="I969" s="834"/>
      <c r="J969" s="834"/>
      <c r="K969" s="835"/>
      <c r="L969" s="835"/>
      <c r="M969" s="835"/>
      <c r="N969" s="835"/>
      <c r="O969" s="835"/>
      <c r="P969" s="835"/>
      <c r="Q969" s="540"/>
      <c r="R969" s="540"/>
      <c r="S969" s="540"/>
      <c r="T969" s="540"/>
      <c r="U969" s="540"/>
      <c r="V969" s="540"/>
      <c r="W969" s="540"/>
      <c r="X969" s="540"/>
      <c r="Y969" s="540"/>
      <c r="Z969" s="540"/>
    </row>
    <row r="970" spans="1:26" ht="19">
      <c r="A970" s="631"/>
      <c r="B970" s="631"/>
      <c r="C970" s="631"/>
      <c r="D970" s="832"/>
      <c r="E970" s="631"/>
      <c r="F970" s="631"/>
      <c r="G970" s="631"/>
      <c r="H970" s="833"/>
      <c r="I970" s="834"/>
      <c r="J970" s="834"/>
      <c r="K970" s="835"/>
      <c r="L970" s="835"/>
      <c r="M970" s="835"/>
      <c r="N970" s="835"/>
      <c r="O970" s="835"/>
      <c r="P970" s="835"/>
      <c r="Q970" s="540"/>
      <c r="R970" s="540"/>
      <c r="S970" s="540"/>
      <c r="T970" s="540"/>
      <c r="U970" s="540"/>
      <c r="V970" s="540"/>
      <c r="W970" s="540"/>
      <c r="X970" s="540"/>
      <c r="Y970" s="540"/>
      <c r="Z970" s="540"/>
    </row>
    <row r="971" spans="1:26" ht="19">
      <c r="A971" s="631"/>
      <c r="B971" s="631"/>
      <c r="C971" s="631"/>
      <c r="D971" s="832"/>
      <c r="E971" s="631"/>
      <c r="F971" s="631"/>
      <c r="G971" s="631"/>
      <c r="H971" s="833"/>
      <c r="I971" s="834"/>
      <c r="J971" s="834"/>
      <c r="K971" s="835"/>
      <c r="L971" s="835"/>
      <c r="M971" s="835"/>
      <c r="N971" s="835"/>
      <c r="O971" s="835"/>
      <c r="P971" s="835"/>
      <c r="Q971" s="540"/>
      <c r="R971" s="540"/>
      <c r="S971" s="540"/>
      <c r="T971" s="540"/>
      <c r="U971" s="540"/>
      <c r="V971" s="540"/>
      <c r="W971" s="540"/>
      <c r="X971" s="540"/>
      <c r="Y971" s="540"/>
      <c r="Z971" s="540"/>
    </row>
    <row r="972" spans="1:26" ht="19">
      <c r="A972" s="631"/>
      <c r="B972" s="631"/>
      <c r="C972" s="631"/>
      <c r="D972" s="832"/>
      <c r="E972" s="631"/>
      <c r="F972" s="631"/>
      <c r="G972" s="631"/>
      <c r="H972" s="833"/>
      <c r="I972" s="834"/>
      <c r="J972" s="834"/>
      <c r="K972" s="835"/>
      <c r="L972" s="835"/>
      <c r="M972" s="835"/>
      <c r="N972" s="835"/>
      <c r="O972" s="835"/>
      <c r="P972" s="835"/>
      <c r="Q972" s="540"/>
      <c r="R972" s="540"/>
      <c r="S972" s="540"/>
      <c r="T972" s="540"/>
      <c r="U972" s="540"/>
      <c r="V972" s="540"/>
      <c r="W972" s="540"/>
      <c r="X972" s="540"/>
      <c r="Y972" s="540"/>
      <c r="Z972" s="540"/>
    </row>
    <row r="973" spans="1:26" ht="19">
      <c r="A973" s="631"/>
      <c r="B973" s="631"/>
      <c r="C973" s="631"/>
      <c r="D973" s="832"/>
      <c r="E973" s="631"/>
      <c r="F973" s="631"/>
      <c r="G973" s="631"/>
      <c r="H973" s="833"/>
      <c r="I973" s="834"/>
      <c r="J973" s="834"/>
      <c r="K973" s="835"/>
      <c r="L973" s="835"/>
      <c r="M973" s="835"/>
      <c r="N973" s="835"/>
      <c r="O973" s="835"/>
      <c r="P973" s="835"/>
      <c r="Q973" s="540"/>
      <c r="R973" s="540"/>
      <c r="S973" s="540"/>
      <c r="T973" s="540"/>
      <c r="U973" s="540"/>
      <c r="V973" s="540"/>
      <c r="W973" s="540"/>
      <c r="X973" s="540"/>
      <c r="Y973" s="540"/>
      <c r="Z973" s="540"/>
    </row>
    <row r="974" spans="1:26" ht="19">
      <c r="A974" s="631"/>
      <c r="B974" s="631"/>
      <c r="C974" s="631"/>
      <c r="D974" s="832"/>
      <c r="E974" s="631"/>
      <c r="F974" s="631"/>
      <c r="G974" s="631"/>
      <c r="H974" s="833"/>
      <c r="I974" s="834"/>
      <c r="J974" s="834"/>
      <c r="K974" s="835"/>
      <c r="L974" s="835"/>
      <c r="M974" s="835"/>
      <c r="N974" s="835"/>
      <c r="O974" s="835"/>
      <c r="P974" s="835"/>
      <c r="Q974" s="540"/>
      <c r="R974" s="540"/>
      <c r="S974" s="540"/>
      <c r="T974" s="540"/>
      <c r="U974" s="540"/>
      <c r="V974" s="540"/>
      <c r="W974" s="540"/>
      <c r="X974" s="540"/>
      <c r="Y974" s="540"/>
      <c r="Z974" s="540"/>
    </row>
    <row r="975" spans="1:26" ht="19">
      <c r="A975" s="631"/>
      <c r="B975" s="631"/>
      <c r="C975" s="631"/>
      <c r="D975" s="832"/>
      <c r="E975" s="631"/>
      <c r="F975" s="631"/>
      <c r="G975" s="631"/>
      <c r="H975" s="833"/>
      <c r="I975" s="834"/>
      <c r="J975" s="834"/>
      <c r="K975" s="835"/>
      <c r="L975" s="835"/>
      <c r="M975" s="835"/>
      <c r="N975" s="835"/>
      <c r="O975" s="835"/>
      <c r="P975" s="835"/>
      <c r="Q975" s="540"/>
      <c r="R975" s="540"/>
      <c r="S975" s="540"/>
      <c r="T975" s="540"/>
      <c r="U975" s="540"/>
      <c r="V975" s="540"/>
      <c r="W975" s="540"/>
      <c r="X975" s="540"/>
      <c r="Y975" s="540"/>
      <c r="Z975" s="540"/>
    </row>
    <row r="976" spans="1:26" ht="19">
      <c r="A976" s="631"/>
      <c r="B976" s="631"/>
      <c r="C976" s="631"/>
      <c r="D976" s="832"/>
      <c r="E976" s="631"/>
      <c r="F976" s="631"/>
      <c r="G976" s="631"/>
      <c r="H976" s="833"/>
      <c r="I976" s="834"/>
      <c r="J976" s="834"/>
      <c r="K976" s="835"/>
      <c r="L976" s="835"/>
      <c r="M976" s="835"/>
      <c r="N976" s="835"/>
      <c r="O976" s="835"/>
      <c r="P976" s="835"/>
      <c r="Q976" s="540"/>
      <c r="R976" s="540"/>
      <c r="S976" s="540"/>
      <c r="T976" s="540"/>
      <c r="U976" s="540"/>
      <c r="V976" s="540"/>
      <c r="W976" s="540"/>
      <c r="X976" s="540"/>
      <c r="Y976" s="540"/>
      <c r="Z976" s="540"/>
    </row>
    <row r="977" spans="1:26" ht="19">
      <c r="A977" s="631"/>
      <c r="B977" s="631"/>
      <c r="C977" s="631"/>
      <c r="D977" s="832"/>
      <c r="E977" s="631"/>
      <c r="F977" s="631"/>
      <c r="G977" s="631"/>
      <c r="H977" s="833"/>
      <c r="I977" s="834"/>
      <c r="J977" s="834"/>
      <c r="K977" s="835"/>
      <c r="L977" s="835"/>
      <c r="M977" s="835"/>
      <c r="N977" s="835"/>
      <c r="O977" s="835"/>
      <c r="P977" s="835"/>
      <c r="Q977" s="540"/>
      <c r="R977" s="540"/>
      <c r="S977" s="540"/>
      <c r="T977" s="540"/>
      <c r="U977" s="540"/>
      <c r="V977" s="540"/>
      <c r="W977" s="540"/>
      <c r="X977" s="540"/>
      <c r="Y977" s="540"/>
      <c r="Z977" s="540"/>
    </row>
    <row r="978" spans="1:26" ht="19">
      <c r="A978" s="631"/>
      <c r="B978" s="631"/>
      <c r="C978" s="631"/>
      <c r="D978" s="832"/>
      <c r="E978" s="631"/>
      <c r="F978" s="631"/>
      <c r="G978" s="631"/>
      <c r="H978" s="833"/>
      <c r="I978" s="834"/>
      <c r="J978" s="834"/>
      <c r="K978" s="835"/>
      <c r="L978" s="835"/>
      <c r="M978" s="835"/>
      <c r="N978" s="835"/>
      <c r="O978" s="835"/>
      <c r="P978" s="835"/>
      <c r="Q978" s="540"/>
      <c r="R978" s="540"/>
      <c r="S978" s="540"/>
      <c r="T978" s="540"/>
      <c r="U978" s="540"/>
      <c r="V978" s="540"/>
      <c r="W978" s="540"/>
      <c r="X978" s="540"/>
      <c r="Y978" s="540"/>
      <c r="Z978" s="540"/>
    </row>
    <row r="979" spans="1:26" ht="19">
      <c r="A979" s="631"/>
      <c r="B979" s="631"/>
      <c r="C979" s="631"/>
      <c r="D979" s="832"/>
      <c r="E979" s="631"/>
      <c r="F979" s="631"/>
      <c r="G979" s="631"/>
      <c r="H979" s="833"/>
      <c r="I979" s="834"/>
      <c r="J979" s="834"/>
      <c r="K979" s="835"/>
      <c r="L979" s="835"/>
      <c r="M979" s="835"/>
      <c r="N979" s="835"/>
      <c r="O979" s="835"/>
      <c r="P979" s="835"/>
      <c r="Q979" s="540"/>
      <c r="R979" s="540"/>
      <c r="S979" s="540"/>
      <c r="T979" s="540"/>
      <c r="U979" s="540"/>
      <c r="V979" s="540"/>
      <c r="W979" s="540"/>
      <c r="X979" s="540"/>
      <c r="Y979" s="540"/>
      <c r="Z979" s="540"/>
    </row>
    <row r="980" spans="1:26" ht="19">
      <c r="A980" s="631"/>
      <c r="B980" s="631"/>
      <c r="C980" s="631"/>
      <c r="D980" s="832"/>
      <c r="E980" s="631"/>
      <c r="F980" s="631"/>
      <c r="G980" s="631"/>
      <c r="H980" s="833"/>
      <c r="I980" s="834"/>
      <c r="J980" s="834"/>
      <c r="K980" s="835"/>
      <c r="L980" s="835"/>
      <c r="M980" s="835"/>
      <c r="N980" s="835"/>
      <c r="O980" s="835"/>
      <c r="P980" s="835"/>
      <c r="Q980" s="540"/>
      <c r="R980" s="540"/>
      <c r="S980" s="540"/>
      <c r="T980" s="540"/>
      <c r="U980" s="540"/>
      <c r="V980" s="540"/>
      <c r="W980" s="540"/>
      <c r="X980" s="540"/>
      <c r="Y980" s="540"/>
      <c r="Z980" s="540"/>
    </row>
    <row r="981" spans="1:26" ht="19">
      <c r="A981" s="631"/>
      <c r="B981" s="631"/>
      <c r="C981" s="631"/>
      <c r="D981" s="832"/>
      <c r="E981" s="631"/>
      <c r="F981" s="631"/>
      <c r="G981" s="631"/>
      <c r="H981" s="833"/>
      <c r="I981" s="834"/>
      <c r="J981" s="834"/>
      <c r="K981" s="835"/>
      <c r="L981" s="835"/>
      <c r="M981" s="835"/>
      <c r="N981" s="835"/>
      <c r="O981" s="835"/>
      <c r="P981" s="835"/>
      <c r="Q981" s="540"/>
      <c r="R981" s="540"/>
      <c r="S981" s="540"/>
      <c r="T981" s="540"/>
      <c r="U981" s="540"/>
      <c r="V981" s="540"/>
      <c r="W981" s="540"/>
      <c r="X981" s="540"/>
      <c r="Y981" s="540"/>
      <c r="Z981" s="540"/>
    </row>
    <row r="982" spans="1:26" ht="19">
      <c r="A982" s="631"/>
      <c r="B982" s="631"/>
      <c r="C982" s="631"/>
      <c r="D982" s="832"/>
      <c r="E982" s="631"/>
      <c r="F982" s="631"/>
      <c r="G982" s="631"/>
      <c r="H982" s="833"/>
      <c r="I982" s="834"/>
      <c r="J982" s="834"/>
      <c r="K982" s="835"/>
      <c r="L982" s="835"/>
      <c r="M982" s="835"/>
      <c r="N982" s="835"/>
      <c r="O982" s="835"/>
      <c r="P982" s="835"/>
      <c r="Q982" s="540"/>
      <c r="R982" s="540"/>
      <c r="S982" s="540"/>
      <c r="T982" s="540"/>
      <c r="U982" s="540"/>
      <c r="V982" s="540"/>
      <c r="W982" s="540"/>
      <c r="X982" s="540"/>
      <c r="Y982" s="540"/>
      <c r="Z982" s="540"/>
    </row>
    <row r="983" spans="1:26" ht="19">
      <c r="A983" s="631"/>
      <c r="B983" s="631"/>
      <c r="C983" s="631"/>
      <c r="D983" s="832"/>
      <c r="E983" s="631"/>
      <c r="F983" s="631"/>
      <c r="G983" s="631"/>
      <c r="H983" s="833"/>
      <c r="I983" s="834"/>
      <c r="J983" s="834"/>
      <c r="K983" s="835"/>
      <c r="L983" s="835"/>
      <c r="M983" s="835"/>
      <c r="N983" s="835"/>
      <c r="O983" s="835"/>
      <c r="P983" s="835"/>
      <c r="Q983" s="540"/>
      <c r="R983" s="540"/>
      <c r="S983" s="540"/>
      <c r="T983" s="540"/>
      <c r="U983" s="540"/>
      <c r="V983" s="540"/>
      <c r="W983" s="540"/>
      <c r="X983" s="540"/>
      <c r="Y983" s="540"/>
      <c r="Z983" s="540"/>
    </row>
    <row r="984" spans="1:26" ht="19">
      <c r="A984" s="631"/>
      <c r="B984" s="631"/>
      <c r="C984" s="631"/>
      <c r="D984" s="832"/>
      <c r="E984" s="631"/>
      <c r="F984" s="631"/>
      <c r="G984" s="631"/>
      <c r="H984" s="833"/>
      <c r="I984" s="834"/>
      <c r="J984" s="834"/>
      <c r="K984" s="835"/>
      <c r="L984" s="835"/>
      <c r="M984" s="835"/>
      <c r="N984" s="835"/>
      <c r="O984" s="835"/>
      <c r="P984" s="835"/>
      <c r="Q984" s="540"/>
      <c r="R984" s="540"/>
      <c r="S984" s="540"/>
      <c r="T984" s="540"/>
      <c r="U984" s="540"/>
      <c r="V984" s="540"/>
      <c r="W984" s="540"/>
      <c r="X984" s="540"/>
      <c r="Y984" s="540"/>
      <c r="Z984" s="540"/>
    </row>
    <row r="985" spans="1:26" ht="19">
      <c r="A985" s="631"/>
      <c r="B985" s="631"/>
      <c r="C985" s="631"/>
      <c r="D985" s="832"/>
      <c r="E985" s="631"/>
      <c r="F985" s="631"/>
      <c r="G985" s="631"/>
      <c r="H985" s="833"/>
      <c r="I985" s="834"/>
      <c r="J985" s="834"/>
      <c r="K985" s="835"/>
      <c r="L985" s="835"/>
      <c r="M985" s="835"/>
      <c r="N985" s="835"/>
      <c r="O985" s="835"/>
      <c r="P985" s="835"/>
      <c r="Q985" s="540"/>
      <c r="R985" s="540"/>
      <c r="S985" s="540"/>
      <c r="T985" s="540"/>
      <c r="U985" s="540"/>
      <c r="V985" s="540"/>
      <c r="W985" s="540"/>
      <c r="X985" s="540"/>
      <c r="Y985" s="540"/>
      <c r="Z985" s="540"/>
    </row>
    <row r="986" spans="1:26" ht="19">
      <c r="A986" s="631"/>
      <c r="B986" s="631"/>
      <c r="C986" s="631"/>
      <c r="D986" s="832"/>
      <c r="E986" s="631"/>
      <c r="F986" s="631"/>
      <c r="G986" s="631"/>
      <c r="H986" s="833"/>
      <c r="I986" s="834"/>
      <c r="J986" s="834"/>
      <c r="K986" s="835"/>
      <c r="L986" s="835"/>
      <c r="M986" s="835"/>
      <c r="N986" s="835"/>
      <c r="O986" s="835"/>
      <c r="P986" s="835"/>
      <c r="Q986" s="540"/>
      <c r="R986" s="540"/>
      <c r="S986" s="540"/>
      <c r="T986" s="540"/>
      <c r="U986" s="540"/>
      <c r="V986" s="540"/>
      <c r="W986" s="540"/>
      <c r="X986" s="540"/>
      <c r="Y986" s="540"/>
      <c r="Z986" s="540"/>
    </row>
    <row r="987" spans="1:26" ht="19">
      <c r="A987" s="631"/>
      <c r="B987" s="631"/>
      <c r="C987" s="631"/>
      <c r="D987" s="832"/>
      <c r="E987" s="631"/>
      <c r="F987" s="631"/>
      <c r="G987" s="631"/>
      <c r="H987" s="833"/>
      <c r="I987" s="834"/>
      <c r="J987" s="834"/>
      <c r="K987" s="835"/>
      <c r="L987" s="835"/>
      <c r="M987" s="835"/>
      <c r="N987" s="835"/>
      <c r="O987" s="835"/>
      <c r="P987" s="835"/>
      <c r="Q987" s="540"/>
      <c r="R987" s="540"/>
      <c r="S987" s="540"/>
      <c r="T987" s="540"/>
      <c r="U987" s="540"/>
      <c r="V987" s="540"/>
      <c r="W987" s="540"/>
      <c r="X987" s="540"/>
      <c r="Y987" s="540"/>
      <c r="Z987" s="540"/>
    </row>
    <row r="988" spans="1:26" ht="19">
      <c r="A988" s="631"/>
      <c r="B988" s="631"/>
      <c r="C988" s="631"/>
      <c r="D988" s="832"/>
      <c r="E988" s="631"/>
      <c r="F988" s="631"/>
      <c r="G988" s="631"/>
      <c r="H988" s="833"/>
      <c r="I988" s="834"/>
      <c r="J988" s="834"/>
      <c r="K988" s="835"/>
      <c r="L988" s="835"/>
      <c r="M988" s="835"/>
      <c r="N988" s="835"/>
      <c r="O988" s="835"/>
      <c r="P988" s="835"/>
      <c r="Q988" s="540"/>
      <c r="R988" s="540"/>
      <c r="S988" s="540"/>
      <c r="T988" s="540"/>
      <c r="U988" s="540"/>
      <c r="V988" s="540"/>
      <c r="W988" s="540"/>
      <c r="X988" s="540"/>
      <c r="Y988" s="540"/>
      <c r="Z988" s="540"/>
    </row>
    <row r="989" spans="1:26" ht="19">
      <c r="A989" s="631"/>
      <c r="B989" s="631"/>
      <c r="C989" s="631"/>
      <c r="D989" s="832"/>
      <c r="E989" s="631"/>
      <c r="F989" s="631"/>
      <c r="G989" s="631"/>
      <c r="H989" s="833"/>
      <c r="I989" s="834"/>
      <c r="J989" s="834"/>
      <c r="K989" s="835"/>
      <c r="L989" s="835"/>
      <c r="M989" s="835"/>
      <c r="N989" s="835"/>
      <c r="O989" s="835"/>
      <c r="P989" s="835"/>
      <c r="Q989" s="540"/>
      <c r="R989" s="540"/>
      <c r="S989" s="540"/>
      <c r="T989" s="540"/>
      <c r="U989" s="540"/>
      <c r="V989" s="540"/>
      <c r="W989" s="540"/>
      <c r="X989" s="540"/>
      <c r="Y989" s="540"/>
      <c r="Z989" s="540"/>
    </row>
    <row r="990" spans="1:26" ht="19">
      <c r="A990" s="631"/>
      <c r="B990" s="631"/>
      <c r="C990" s="631"/>
      <c r="D990" s="832"/>
      <c r="E990" s="631"/>
      <c r="F990" s="631"/>
      <c r="G990" s="631"/>
      <c r="H990" s="833"/>
      <c r="I990" s="834"/>
      <c r="J990" s="834"/>
      <c r="K990" s="835"/>
      <c r="L990" s="835"/>
      <c r="M990" s="835"/>
      <c r="N990" s="835"/>
      <c r="O990" s="835"/>
      <c r="P990" s="835"/>
      <c r="Q990" s="540"/>
      <c r="R990" s="540"/>
      <c r="S990" s="540"/>
      <c r="T990" s="540"/>
      <c r="U990" s="540"/>
      <c r="V990" s="540"/>
      <c r="W990" s="540"/>
      <c r="X990" s="540"/>
      <c r="Y990" s="540"/>
      <c r="Z990" s="540"/>
    </row>
    <row r="991" spans="1:26" ht="19">
      <c r="A991" s="631"/>
      <c r="B991" s="631"/>
      <c r="C991" s="631"/>
      <c r="D991" s="832"/>
      <c r="E991" s="631"/>
      <c r="F991" s="631"/>
      <c r="G991" s="631"/>
      <c r="H991" s="833"/>
      <c r="I991" s="834"/>
      <c r="J991" s="834"/>
      <c r="K991" s="835"/>
      <c r="L991" s="835"/>
      <c r="M991" s="835"/>
      <c r="N991" s="835"/>
      <c r="O991" s="835"/>
      <c r="P991" s="835"/>
      <c r="Q991" s="540"/>
      <c r="R991" s="540"/>
      <c r="S991" s="540"/>
      <c r="T991" s="540"/>
      <c r="U991" s="540"/>
      <c r="V991" s="540"/>
      <c r="W991" s="540"/>
      <c r="X991" s="540"/>
      <c r="Y991" s="540"/>
      <c r="Z991" s="540"/>
    </row>
    <row r="992" spans="1:26" ht="19">
      <c r="A992" s="631"/>
      <c r="B992" s="631"/>
      <c r="C992" s="631"/>
      <c r="D992" s="832"/>
      <c r="E992" s="631"/>
      <c r="F992" s="631"/>
      <c r="G992" s="631"/>
      <c r="H992" s="833"/>
      <c r="I992" s="834"/>
      <c r="J992" s="834"/>
      <c r="K992" s="835"/>
      <c r="L992" s="835"/>
      <c r="M992" s="835"/>
      <c r="N992" s="835"/>
      <c r="O992" s="835"/>
      <c r="P992" s="835"/>
      <c r="Q992" s="540"/>
      <c r="R992" s="540"/>
      <c r="S992" s="540"/>
      <c r="T992" s="540"/>
      <c r="U992" s="540"/>
      <c r="V992" s="540"/>
      <c r="W992" s="540"/>
      <c r="X992" s="540"/>
      <c r="Y992" s="540"/>
      <c r="Z992" s="540"/>
    </row>
    <row r="993" spans="1:26" ht="19">
      <c r="A993" s="631"/>
      <c r="B993" s="631"/>
      <c r="C993" s="631"/>
      <c r="D993" s="832"/>
      <c r="E993" s="631"/>
      <c r="F993" s="631"/>
      <c r="G993" s="631"/>
      <c r="H993" s="833"/>
      <c r="I993" s="834"/>
      <c r="J993" s="834"/>
      <c r="K993" s="835"/>
      <c r="L993" s="835"/>
      <c r="M993" s="835"/>
      <c r="N993" s="835"/>
      <c r="O993" s="835"/>
      <c r="P993" s="835"/>
      <c r="Q993" s="540"/>
      <c r="R993" s="540"/>
      <c r="S993" s="540"/>
      <c r="T993" s="540"/>
      <c r="U993" s="540"/>
      <c r="V993" s="540"/>
      <c r="W993" s="540"/>
      <c r="X993" s="540"/>
      <c r="Y993" s="540"/>
      <c r="Z993" s="540"/>
    </row>
    <row r="994" spans="1:26" ht="19">
      <c r="A994" s="631"/>
      <c r="B994" s="631"/>
      <c r="C994" s="631"/>
      <c r="D994" s="832"/>
      <c r="E994" s="631"/>
      <c r="F994" s="631"/>
      <c r="G994" s="631"/>
      <c r="H994" s="833"/>
      <c r="I994" s="834"/>
      <c r="J994" s="834"/>
      <c r="K994" s="835"/>
      <c r="L994" s="835"/>
      <c r="M994" s="835"/>
      <c r="N994" s="835"/>
      <c r="O994" s="835"/>
      <c r="P994" s="835"/>
      <c r="Q994" s="540"/>
      <c r="R994" s="540"/>
      <c r="S994" s="540"/>
      <c r="T994" s="540"/>
      <c r="U994" s="540"/>
      <c r="V994" s="540"/>
      <c r="W994" s="540"/>
      <c r="X994" s="540"/>
      <c r="Y994" s="540"/>
      <c r="Z994" s="540"/>
    </row>
    <row r="995" spans="1:26" ht="19">
      <c r="A995" s="631"/>
      <c r="B995" s="631"/>
      <c r="C995" s="631"/>
      <c r="D995" s="832"/>
      <c r="E995" s="631"/>
      <c r="F995" s="631"/>
      <c r="G995" s="631"/>
      <c r="H995" s="833"/>
      <c r="I995" s="834"/>
      <c r="J995" s="834"/>
      <c r="K995" s="835"/>
      <c r="L995" s="835"/>
      <c r="M995" s="835"/>
      <c r="N995" s="835"/>
      <c r="O995" s="835"/>
      <c r="P995" s="835"/>
      <c r="Q995" s="540"/>
      <c r="R995" s="540"/>
      <c r="S995" s="540"/>
      <c r="T995" s="540"/>
      <c r="U995" s="540"/>
      <c r="V995" s="540"/>
      <c r="W995" s="540"/>
      <c r="X995" s="540"/>
      <c r="Y995" s="540"/>
      <c r="Z995" s="540"/>
    </row>
    <row r="996" spans="1:26" ht="19">
      <c r="A996" s="631"/>
      <c r="B996" s="631"/>
      <c r="C996" s="631"/>
      <c r="D996" s="832"/>
      <c r="E996" s="631"/>
      <c r="F996" s="631"/>
      <c r="G996" s="631"/>
      <c r="H996" s="833"/>
      <c r="I996" s="834"/>
      <c r="J996" s="834"/>
      <c r="K996" s="835"/>
      <c r="L996" s="835"/>
      <c r="M996" s="835"/>
      <c r="N996" s="835"/>
      <c r="O996" s="835"/>
      <c r="P996" s="835"/>
      <c r="Q996" s="540"/>
      <c r="R996" s="540"/>
      <c r="S996" s="540"/>
      <c r="T996" s="540"/>
      <c r="U996" s="540"/>
      <c r="V996" s="540"/>
      <c r="W996" s="540"/>
      <c r="X996" s="540"/>
      <c r="Y996" s="540"/>
      <c r="Z996" s="540"/>
    </row>
    <row r="997" spans="1:26" ht="19">
      <c r="A997" s="631"/>
      <c r="B997" s="631"/>
      <c r="C997" s="631"/>
      <c r="D997" s="832"/>
      <c r="E997" s="631"/>
      <c r="F997" s="631"/>
      <c r="G997" s="631"/>
      <c r="H997" s="833"/>
      <c r="I997" s="834"/>
      <c r="J997" s="834"/>
      <c r="K997" s="835"/>
      <c r="L997" s="835"/>
      <c r="M997" s="835"/>
      <c r="N997" s="835"/>
      <c r="O997" s="835"/>
      <c r="P997" s="835"/>
      <c r="Q997" s="540"/>
      <c r="R997" s="540"/>
      <c r="S997" s="540"/>
      <c r="T997" s="540"/>
      <c r="U997" s="540"/>
      <c r="V997" s="540"/>
      <c r="W997" s="540"/>
      <c r="X997" s="540"/>
      <c r="Y997" s="540"/>
      <c r="Z997" s="540"/>
    </row>
    <row r="998" spans="1:26" ht="19">
      <c r="A998" s="631"/>
      <c r="B998" s="631"/>
      <c r="C998" s="631"/>
      <c r="D998" s="832"/>
      <c r="E998" s="631"/>
      <c r="F998" s="631"/>
      <c r="G998" s="631"/>
      <c r="H998" s="833"/>
      <c r="I998" s="834"/>
      <c r="J998" s="834"/>
      <c r="K998" s="835"/>
      <c r="L998" s="835"/>
      <c r="M998" s="835"/>
      <c r="N998" s="835"/>
      <c r="O998" s="835"/>
      <c r="P998" s="835"/>
      <c r="Q998" s="540"/>
      <c r="R998" s="540"/>
      <c r="S998" s="540"/>
      <c r="T998" s="540"/>
      <c r="U998" s="540"/>
      <c r="V998" s="540"/>
      <c r="W998" s="540"/>
      <c r="X998" s="540"/>
      <c r="Y998" s="540"/>
      <c r="Z998" s="540"/>
    </row>
    <row r="999" spans="1:26" ht="19">
      <c r="A999" s="631"/>
      <c r="B999" s="631"/>
      <c r="C999" s="631"/>
      <c r="D999" s="832"/>
      <c r="E999" s="631"/>
      <c r="F999" s="631"/>
      <c r="G999" s="631"/>
      <c r="H999" s="833"/>
      <c r="I999" s="834"/>
      <c r="J999" s="834"/>
      <c r="K999" s="835"/>
      <c r="L999" s="835"/>
      <c r="M999" s="835"/>
      <c r="N999" s="835"/>
      <c r="O999" s="835"/>
      <c r="P999" s="835"/>
      <c r="Q999" s="540"/>
      <c r="R999" s="540"/>
      <c r="S999" s="540"/>
      <c r="T999" s="540"/>
      <c r="U999" s="540"/>
      <c r="V999" s="540"/>
      <c r="W999" s="540"/>
      <c r="X999" s="540"/>
      <c r="Y999" s="540"/>
      <c r="Z999" s="540"/>
    </row>
    <row r="1000" spans="1:26" ht="19">
      <c r="A1000" s="631"/>
      <c r="B1000" s="631"/>
      <c r="C1000" s="631"/>
      <c r="D1000" s="832"/>
      <c r="E1000" s="631"/>
      <c r="F1000" s="631"/>
      <c r="G1000" s="631"/>
      <c r="H1000" s="833"/>
      <c r="I1000" s="834"/>
      <c r="J1000" s="834"/>
      <c r="K1000" s="835"/>
      <c r="L1000" s="835"/>
      <c r="M1000" s="835"/>
      <c r="N1000" s="835"/>
      <c r="O1000" s="835"/>
      <c r="P1000" s="835"/>
      <c r="Q1000" s="540"/>
      <c r="R1000" s="540"/>
      <c r="S1000" s="540"/>
      <c r="T1000" s="540"/>
      <c r="U1000" s="540"/>
      <c r="V1000" s="540"/>
      <c r="W1000" s="540"/>
      <c r="X1000" s="540"/>
      <c r="Y1000" s="540"/>
      <c r="Z1000" s="540"/>
    </row>
    <row r="1001" spans="1:26" ht="19">
      <c r="A1001" s="631"/>
      <c r="B1001" s="631"/>
      <c r="C1001" s="631"/>
      <c r="D1001" s="832"/>
      <c r="E1001" s="631"/>
      <c r="F1001" s="631"/>
      <c r="G1001" s="631"/>
      <c r="H1001" s="833"/>
      <c r="I1001" s="834"/>
      <c r="J1001" s="834"/>
      <c r="K1001" s="835"/>
      <c r="L1001" s="835"/>
      <c r="M1001" s="835"/>
      <c r="N1001" s="835"/>
      <c r="O1001" s="835"/>
      <c r="P1001" s="835"/>
      <c r="Q1001" s="540"/>
      <c r="R1001" s="540"/>
      <c r="S1001" s="540"/>
      <c r="T1001" s="540"/>
      <c r="U1001" s="540"/>
      <c r="V1001" s="540"/>
      <c r="W1001" s="540"/>
      <c r="X1001" s="540"/>
      <c r="Y1001" s="540"/>
      <c r="Z1001" s="540"/>
    </row>
    <row r="1002" spans="1:26" ht="19">
      <c r="A1002" s="631"/>
      <c r="B1002" s="631"/>
      <c r="C1002" s="631"/>
      <c r="D1002" s="832"/>
      <c r="E1002" s="631"/>
      <c r="F1002" s="631"/>
      <c r="G1002" s="631"/>
      <c r="H1002" s="833"/>
      <c r="I1002" s="834"/>
      <c r="J1002" s="834"/>
      <c r="K1002" s="835"/>
      <c r="L1002" s="835"/>
      <c r="M1002" s="835"/>
      <c r="N1002" s="835"/>
      <c r="O1002" s="835"/>
      <c r="P1002" s="835"/>
      <c r="Q1002" s="540"/>
      <c r="R1002" s="540"/>
      <c r="S1002" s="540"/>
      <c r="T1002" s="540"/>
      <c r="U1002" s="540"/>
      <c r="V1002" s="540"/>
      <c r="W1002" s="540"/>
      <c r="X1002" s="540"/>
      <c r="Y1002" s="540"/>
      <c r="Z1002" s="540"/>
    </row>
    <row r="1003" spans="1:26" ht="19">
      <c r="A1003" s="631"/>
      <c r="B1003" s="631"/>
      <c r="C1003" s="631"/>
      <c r="D1003" s="832"/>
      <c r="E1003" s="631"/>
      <c r="F1003" s="631"/>
      <c r="G1003" s="631"/>
      <c r="H1003" s="833"/>
      <c r="I1003" s="834"/>
      <c r="J1003" s="834"/>
      <c r="K1003" s="835"/>
      <c r="L1003" s="835"/>
      <c r="M1003" s="835"/>
      <c r="N1003" s="835"/>
      <c r="O1003" s="835"/>
      <c r="P1003" s="835"/>
      <c r="Q1003" s="540"/>
      <c r="R1003" s="540"/>
      <c r="S1003" s="540"/>
      <c r="T1003" s="540"/>
      <c r="U1003" s="540"/>
      <c r="V1003" s="540"/>
      <c r="W1003" s="540"/>
      <c r="X1003" s="540"/>
      <c r="Y1003" s="540"/>
      <c r="Z1003" s="540"/>
    </row>
    <row r="1004" spans="1:26" ht="19">
      <c r="A1004" s="631"/>
      <c r="B1004" s="631"/>
      <c r="C1004" s="631"/>
      <c r="D1004" s="832"/>
      <c r="E1004" s="631"/>
      <c r="F1004" s="631"/>
      <c r="G1004" s="631"/>
      <c r="H1004" s="833"/>
      <c r="I1004" s="834"/>
      <c r="J1004" s="834"/>
      <c r="K1004" s="835"/>
      <c r="L1004" s="835"/>
      <c r="M1004" s="835"/>
      <c r="N1004" s="835"/>
      <c r="O1004" s="835"/>
      <c r="P1004" s="835"/>
      <c r="Q1004" s="540"/>
      <c r="R1004" s="540"/>
      <c r="S1004" s="540"/>
      <c r="T1004" s="540"/>
      <c r="U1004" s="540"/>
      <c r="V1004" s="540"/>
      <c r="W1004" s="540"/>
      <c r="X1004" s="540"/>
      <c r="Y1004" s="540"/>
      <c r="Z1004" s="540"/>
    </row>
    <row r="1005" spans="1:26" ht="19">
      <c r="A1005" s="631"/>
      <c r="B1005" s="631"/>
      <c r="C1005" s="631"/>
      <c r="D1005" s="832"/>
      <c r="E1005" s="631"/>
      <c r="F1005" s="631"/>
      <c r="G1005" s="631"/>
      <c r="H1005" s="833"/>
      <c r="I1005" s="834"/>
      <c r="J1005" s="834"/>
      <c r="K1005" s="835"/>
      <c r="L1005" s="835"/>
      <c r="M1005" s="835"/>
      <c r="N1005" s="835"/>
      <c r="O1005" s="835"/>
      <c r="P1005" s="835"/>
      <c r="Q1005" s="540"/>
      <c r="R1005" s="540"/>
      <c r="S1005" s="540"/>
      <c r="T1005" s="540"/>
      <c r="U1005" s="540"/>
      <c r="V1005" s="540"/>
      <c r="W1005" s="540"/>
      <c r="X1005" s="540"/>
      <c r="Y1005" s="540"/>
      <c r="Z1005" s="540"/>
    </row>
    <row r="1006" spans="1:26" ht="19">
      <c r="A1006" s="631"/>
      <c r="B1006" s="631"/>
      <c r="C1006" s="631"/>
      <c r="D1006" s="832"/>
      <c r="E1006" s="631"/>
      <c r="F1006" s="631"/>
      <c r="G1006" s="631"/>
      <c r="H1006" s="833"/>
      <c r="I1006" s="834"/>
      <c r="J1006" s="834"/>
      <c r="K1006" s="835"/>
      <c r="L1006" s="835"/>
      <c r="M1006" s="835"/>
      <c r="N1006" s="835"/>
      <c r="O1006" s="835"/>
      <c r="P1006" s="835"/>
      <c r="Q1006" s="540"/>
      <c r="R1006" s="540"/>
      <c r="S1006" s="540"/>
      <c r="T1006" s="540"/>
      <c r="U1006" s="540"/>
      <c r="V1006" s="540"/>
      <c r="W1006" s="540"/>
      <c r="X1006" s="540"/>
      <c r="Y1006" s="540"/>
      <c r="Z1006" s="540"/>
    </row>
    <row r="1007" spans="1:26" ht="19">
      <c r="A1007" s="631"/>
      <c r="B1007" s="631"/>
      <c r="C1007" s="631"/>
      <c r="D1007" s="832"/>
      <c r="E1007" s="631"/>
      <c r="F1007" s="631"/>
      <c r="G1007" s="631"/>
      <c r="H1007" s="833"/>
      <c r="I1007" s="834"/>
      <c r="J1007" s="834"/>
      <c r="K1007" s="835"/>
      <c r="L1007" s="835"/>
      <c r="M1007" s="835"/>
      <c r="N1007" s="835"/>
      <c r="O1007" s="835"/>
      <c r="P1007" s="835"/>
      <c r="Q1007" s="540"/>
      <c r="R1007" s="540"/>
      <c r="S1007" s="540"/>
      <c r="T1007" s="540"/>
      <c r="U1007" s="540"/>
      <c r="V1007" s="540"/>
      <c r="W1007" s="540"/>
      <c r="X1007" s="540"/>
      <c r="Y1007" s="540"/>
      <c r="Z1007" s="540"/>
    </row>
    <row r="1008" spans="1:26" ht="19">
      <c r="A1008" s="631"/>
      <c r="B1008" s="631"/>
      <c r="C1008" s="631"/>
      <c r="D1008" s="832"/>
      <c r="E1008" s="631"/>
      <c r="F1008" s="631"/>
      <c r="G1008" s="631"/>
      <c r="H1008" s="833"/>
      <c r="I1008" s="834"/>
      <c r="J1008" s="834"/>
      <c r="K1008" s="835"/>
      <c r="L1008" s="835"/>
      <c r="M1008" s="835"/>
      <c r="N1008" s="835"/>
      <c r="O1008" s="835"/>
      <c r="P1008" s="835"/>
      <c r="Q1008" s="540"/>
      <c r="R1008" s="540"/>
      <c r="S1008" s="540"/>
      <c r="T1008" s="540"/>
      <c r="U1008" s="540"/>
      <c r="V1008" s="540"/>
      <c r="W1008" s="540"/>
      <c r="X1008" s="540"/>
      <c r="Y1008" s="540"/>
      <c r="Z1008" s="540"/>
    </row>
    <row r="1009" spans="1:26" ht="19">
      <c r="A1009" s="631"/>
      <c r="B1009" s="631"/>
      <c r="C1009" s="631"/>
      <c r="D1009" s="832"/>
      <c r="E1009" s="631"/>
      <c r="F1009" s="631"/>
      <c r="G1009" s="631"/>
      <c r="H1009" s="833"/>
      <c r="I1009" s="834"/>
      <c r="J1009" s="834"/>
      <c r="K1009" s="835"/>
      <c r="L1009" s="835"/>
      <c r="M1009" s="835"/>
      <c r="N1009" s="835"/>
      <c r="O1009" s="835"/>
      <c r="P1009" s="835"/>
      <c r="Q1009" s="540"/>
      <c r="R1009" s="540"/>
      <c r="S1009" s="540"/>
      <c r="T1009" s="540"/>
      <c r="U1009" s="540"/>
      <c r="V1009" s="540"/>
      <c r="W1009" s="540"/>
      <c r="X1009" s="540"/>
      <c r="Y1009" s="540"/>
      <c r="Z1009" s="540"/>
    </row>
    <row r="1010" spans="1:26" ht="19">
      <c r="A1010" s="631"/>
      <c r="B1010" s="631"/>
      <c r="C1010" s="631"/>
      <c r="D1010" s="832"/>
      <c r="E1010" s="631"/>
      <c r="F1010" s="631"/>
      <c r="G1010" s="631"/>
      <c r="H1010" s="833"/>
      <c r="I1010" s="834"/>
      <c r="J1010" s="834"/>
      <c r="K1010" s="835"/>
      <c r="L1010" s="835"/>
      <c r="M1010" s="835"/>
      <c r="N1010" s="835"/>
      <c r="O1010" s="835"/>
      <c r="P1010" s="835"/>
      <c r="Q1010" s="540"/>
      <c r="R1010" s="540"/>
      <c r="S1010" s="540"/>
      <c r="T1010" s="540"/>
      <c r="U1010" s="540"/>
      <c r="V1010" s="540"/>
      <c r="W1010" s="540"/>
      <c r="X1010" s="540"/>
      <c r="Y1010" s="540"/>
      <c r="Z1010" s="540"/>
    </row>
    <row r="1011" spans="1:26" ht="19">
      <c r="A1011" s="631"/>
      <c r="B1011" s="631"/>
      <c r="C1011" s="631"/>
      <c r="D1011" s="832"/>
      <c r="E1011" s="631"/>
      <c r="F1011" s="631"/>
      <c r="G1011" s="631"/>
      <c r="H1011" s="833"/>
      <c r="I1011" s="834"/>
      <c r="J1011" s="834"/>
      <c r="K1011" s="835"/>
      <c r="L1011" s="835"/>
      <c r="M1011" s="835"/>
      <c r="N1011" s="835"/>
      <c r="O1011" s="835"/>
      <c r="P1011" s="835"/>
      <c r="Q1011" s="540"/>
      <c r="R1011" s="540"/>
      <c r="S1011" s="540"/>
      <c r="T1011" s="540"/>
      <c r="U1011" s="540"/>
      <c r="V1011" s="540"/>
      <c r="W1011" s="540"/>
      <c r="X1011" s="540"/>
      <c r="Y1011" s="540"/>
      <c r="Z1011" s="540"/>
    </row>
    <row r="1012" spans="1:26" ht="19">
      <c r="A1012" s="631"/>
      <c r="B1012" s="631"/>
      <c r="C1012" s="631"/>
      <c r="D1012" s="832"/>
      <c r="E1012" s="631"/>
      <c r="F1012" s="631"/>
      <c r="G1012" s="631"/>
      <c r="H1012" s="833"/>
      <c r="I1012" s="834"/>
      <c r="J1012" s="834"/>
      <c r="K1012" s="835"/>
      <c r="L1012" s="835"/>
      <c r="M1012" s="835"/>
      <c r="N1012" s="835"/>
      <c r="O1012" s="835"/>
      <c r="P1012" s="835"/>
      <c r="Q1012" s="540"/>
      <c r="R1012" s="540"/>
      <c r="S1012" s="540"/>
      <c r="T1012" s="540"/>
      <c r="U1012" s="540"/>
      <c r="V1012" s="540"/>
      <c r="W1012" s="540"/>
      <c r="X1012" s="540"/>
      <c r="Y1012" s="540"/>
      <c r="Z1012" s="540"/>
    </row>
    <row r="1013" spans="1:26" ht="19">
      <c r="A1013" s="631"/>
      <c r="B1013" s="631"/>
      <c r="C1013" s="631"/>
      <c r="D1013" s="832"/>
      <c r="E1013" s="631"/>
      <c r="F1013" s="631"/>
      <c r="G1013" s="631"/>
      <c r="H1013" s="833"/>
      <c r="I1013" s="834"/>
      <c r="J1013" s="834"/>
      <c r="K1013" s="835"/>
      <c r="L1013" s="835"/>
      <c r="M1013" s="835"/>
      <c r="N1013" s="835"/>
      <c r="O1013" s="835"/>
      <c r="P1013" s="835"/>
      <c r="Q1013" s="540"/>
      <c r="R1013" s="540"/>
      <c r="S1013" s="540"/>
      <c r="T1013" s="540"/>
      <c r="U1013" s="540"/>
      <c r="V1013" s="540"/>
      <c r="W1013" s="540"/>
      <c r="X1013" s="540"/>
      <c r="Y1013" s="540"/>
      <c r="Z1013" s="540"/>
    </row>
    <row r="1014" spans="1:26" ht="19">
      <c r="A1014" s="631"/>
      <c r="B1014" s="631"/>
      <c r="C1014" s="631"/>
      <c r="D1014" s="832"/>
      <c r="E1014" s="631"/>
      <c r="F1014" s="631"/>
      <c r="G1014" s="631"/>
      <c r="H1014" s="833"/>
      <c r="I1014" s="834"/>
      <c r="J1014" s="834"/>
      <c r="K1014" s="835"/>
      <c r="L1014" s="835"/>
      <c r="M1014" s="835"/>
      <c r="N1014" s="835"/>
      <c r="O1014" s="835"/>
      <c r="P1014" s="835"/>
      <c r="Q1014" s="540"/>
      <c r="R1014" s="540"/>
      <c r="S1014" s="540"/>
      <c r="T1014" s="540"/>
      <c r="U1014" s="540"/>
      <c r="V1014" s="540"/>
      <c r="W1014" s="540"/>
      <c r="X1014" s="540"/>
      <c r="Y1014" s="540"/>
      <c r="Z1014" s="540"/>
    </row>
    <row r="1015" spans="1:26" ht="19">
      <c r="A1015" s="631"/>
      <c r="B1015" s="631"/>
      <c r="C1015" s="631"/>
      <c r="D1015" s="832"/>
      <c r="E1015" s="631"/>
      <c r="F1015" s="631"/>
      <c r="G1015" s="631"/>
      <c r="H1015" s="833"/>
      <c r="I1015" s="834"/>
      <c r="J1015" s="834"/>
      <c r="K1015" s="835"/>
      <c r="L1015" s="835"/>
      <c r="M1015" s="835"/>
      <c r="N1015" s="835"/>
      <c r="O1015" s="835"/>
      <c r="P1015" s="835"/>
      <c r="Q1015" s="540"/>
      <c r="R1015" s="540"/>
      <c r="S1015" s="540"/>
      <c r="T1015" s="540"/>
      <c r="U1015" s="540"/>
      <c r="V1015" s="540"/>
      <c r="W1015" s="540"/>
      <c r="X1015" s="540"/>
      <c r="Y1015" s="540"/>
      <c r="Z1015" s="540"/>
    </row>
    <row r="1016" spans="1:26" ht="19">
      <c r="A1016" s="631"/>
      <c r="B1016" s="631"/>
      <c r="C1016" s="631"/>
      <c r="D1016" s="832"/>
      <c r="E1016" s="631"/>
      <c r="F1016" s="631"/>
      <c r="G1016" s="631"/>
      <c r="H1016" s="833"/>
      <c r="I1016" s="834"/>
      <c r="J1016" s="834"/>
      <c r="K1016" s="835"/>
      <c r="L1016" s="835"/>
      <c r="M1016" s="835"/>
      <c r="N1016" s="835"/>
      <c r="O1016" s="835"/>
      <c r="P1016" s="835"/>
      <c r="Q1016" s="540"/>
      <c r="R1016" s="540"/>
      <c r="S1016" s="540"/>
      <c r="T1016" s="540"/>
      <c r="U1016" s="540"/>
      <c r="V1016" s="540"/>
      <c r="W1016" s="540"/>
      <c r="X1016" s="540"/>
      <c r="Y1016" s="540"/>
      <c r="Z1016" s="540"/>
    </row>
    <row r="1017" spans="1:26" ht="19">
      <c r="A1017" s="631"/>
      <c r="B1017" s="631"/>
      <c r="C1017" s="631"/>
      <c r="D1017" s="832"/>
      <c r="E1017" s="631"/>
      <c r="F1017" s="631"/>
      <c r="G1017" s="631"/>
      <c r="H1017" s="833"/>
      <c r="I1017" s="834"/>
      <c r="J1017" s="834"/>
      <c r="K1017" s="835"/>
      <c r="L1017" s="835"/>
      <c r="M1017" s="835"/>
      <c r="N1017" s="835"/>
      <c r="O1017" s="835"/>
      <c r="P1017" s="835"/>
      <c r="Q1017" s="540"/>
      <c r="R1017" s="540"/>
      <c r="S1017" s="540"/>
      <c r="T1017" s="540"/>
      <c r="U1017" s="540"/>
      <c r="V1017" s="540"/>
      <c r="W1017" s="540"/>
      <c r="X1017" s="540"/>
      <c r="Y1017" s="540"/>
      <c r="Z1017" s="540"/>
    </row>
    <row r="1018" spans="1:26" ht="19">
      <c r="A1018" s="631"/>
      <c r="B1018" s="631"/>
      <c r="C1018" s="631"/>
      <c r="D1018" s="832"/>
      <c r="E1018" s="631"/>
      <c r="F1018" s="631"/>
      <c r="G1018" s="631"/>
      <c r="H1018" s="833"/>
      <c r="I1018" s="834"/>
      <c r="J1018" s="834"/>
      <c r="K1018" s="835"/>
      <c r="L1018" s="835"/>
      <c r="M1018" s="835"/>
      <c r="N1018" s="835"/>
      <c r="O1018" s="835"/>
      <c r="P1018" s="835"/>
      <c r="Q1018" s="540"/>
      <c r="R1018" s="540"/>
      <c r="S1018" s="540"/>
      <c r="T1018" s="540"/>
      <c r="U1018" s="540"/>
      <c r="V1018" s="540"/>
      <c r="W1018" s="540"/>
      <c r="X1018" s="540"/>
      <c r="Y1018" s="540"/>
      <c r="Z1018" s="540"/>
    </row>
    <row r="1019" spans="1:26" ht="19">
      <c r="A1019" s="631"/>
      <c r="B1019" s="631"/>
      <c r="C1019" s="631"/>
      <c r="D1019" s="832"/>
      <c r="E1019" s="631"/>
      <c r="F1019" s="631"/>
      <c r="G1019" s="631"/>
      <c r="H1019" s="833"/>
      <c r="I1019" s="834"/>
      <c r="J1019" s="834"/>
      <c r="K1019" s="835"/>
      <c r="L1019" s="835"/>
      <c r="M1019" s="835"/>
      <c r="N1019" s="835"/>
      <c r="O1019" s="835"/>
      <c r="P1019" s="835"/>
      <c r="Q1019" s="540"/>
      <c r="R1019" s="540"/>
      <c r="S1019" s="540"/>
      <c r="T1019" s="540"/>
      <c r="U1019" s="540"/>
      <c r="V1019" s="540"/>
      <c r="W1019" s="540"/>
      <c r="X1019" s="540"/>
      <c r="Y1019" s="540"/>
      <c r="Z1019" s="540"/>
    </row>
    <row r="1020" spans="1:26" ht="19">
      <c r="A1020" s="631"/>
      <c r="B1020" s="631"/>
      <c r="C1020" s="631"/>
      <c r="D1020" s="832"/>
      <c r="E1020" s="631"/>
      <c r="F1020" s="631"/>
      <c r="G1020" s="631"/>
      <c r="H1020" s="833"/>
      <c r="I1020" s="834"/>
      <c r="J1020" s="834"/>
      <c r="K1020" s="835"/>
      <c r="L1020" s="835"/>
      <c r="M1020" s="835"/>
      <c r="N1020" s="835"/>
      <c r="O1020" s="835"/>
      <c r="P1020" s="835"/>
      <c r="Q1020" s="540"/>
      <c r="R1020" s="540"/>
      <c r="S1020" s="540"/>
      <c r="T1020" s="540"/>
      <c r="U1020" s="540"/>
      <c r="V1020" s="540"/>
      <c r="W1020" s="540"/>
      <c r="X1020" s="540"/>
      <c r="Y1020" s="540"/>
      <c r="Z1020" s="540"/>
    </row>
    <row r="1021" spans="1:26" ht="19">
      <c r="A1021" s="631"/>
      <c r="B1021" s="631"/>
      <c r="C1021" s="631"/>
      <c r="D1021" s="832"/>
      <c r="E1021" s="631"/>
      <c r="F1021" s="631"/>
      <c r="G1021" s="631"/>
      <c r="H1021" s="833"/>
      <c r="I1021" s="834"/>
      <c r="J1021" s="834"/>
      <c r="K1021" s="835"/>
      <c r="L1021" s="835"/>
      <c r="M1021" s="835"/>
      <c r="N1021" s="835"/>
      <c r="O1021" s="835"/>
      <c r="P1021" s="835"/>
      <c r="Q1021" s="540"/>
      <c r="R1021" s="540"/>
      <c r="S1021" s="540"/>
      <c r="T1021" s="540"/>
      <c r="U1021" s="540"/>
      <c r="V1021" s="540"/>
      <c r="W1021" s="540"/>
      <c r="X1021" s="540"/>
      <c r="Y1021" s="540"/>
      <c r="Z1021" s="540"/>
    </row>
    <row r="1022" spans="1:26" ht="19">
      <c r="A1022" s="631"/>
      <c r="B1022" s="631"/>
      <c r="C1022" s="631"/>
      <c r="D1022" s="832"/>
      <c r="E1022" s="631"/>
      <c r="F1022" s="631"/>
      <c r="G1022" s="631"/>
      <c r="H1022" s="833"/>
      <c r="I1022" s="834"/>
      <c r="J1022" s="834"/>
      <c r="K1022" s="835"/>
      <c r="L1022" s="835"/>
      <c r="M1022" s="835"/>
      <c r="N1022" s="835"/>
      <c r="O1022" s="835"/>
      <c r="P1022" s="835"/>
      <c r="Q1022" s="540"/>
      <c r="R1022" s="540"/>
      <c r="S1022" s="540"/>
      <c r="T1022" s="540"/>
      <c r="U1022" s="540"/>
      <c r="V1022" s="540"/>
      <c r="W1022" s="540"/>
      <c r="X1022" s="540"/>
      <c r="Y1022" s="540"/>
      <c r="Z1022" s="540"/>
    </row>
    <row r="1023" spans="1:26" ht="19">
      <c r="A1023" s="631"/>
      <c r="B1023" s="631"/>
      <c r="C1023" s="631"/>
      <c r="D1023" s="832"/>
      <c r="E1023" s="631"/>
      <c r="F1023" s="631"/>
      <c r="G1023" s="631"/>
      <c r="H1023" s="833"/>
      <c r="I1023" s="834"/>
      <c r="J1023" s="834"/>
      <c r="K1023" s="835"/>
      <c r="L1023" s="835"/>
      <c r="M1023" s="835"/>
      <c r="N1023" s="835"/>
      <c r="O1023" s="835"/>
      <c r="P1023" s="835"/>
      <c r="Q1023" s="540"/>
      <c r="R1023" s="540"/>
      <c r="S1023" s="540"/>
      <c r="T1023" s="540"/>
      <c r="U1023" s="540"/>
      <c r="V1023" s="540"/>
      <c r="W1023" s="540"/>
      <c r="X1023" s="540"/>
      <c r="Y1023" s="540"/>
      <c r="Z1023" s="540"/>
    </row>
    <row r="1024" spans="1:26" ht="19">
      <c r="A1024" s="631"/>
      <c r="B1024" s="631"/>
      <c r="C1024" s="631"/>
      <c r="D1024" s="832"/>
      <c r="E1024" s="631"/>
      <c r="F1024" s="631"/>
      <c r="G1024" s="631"/>
      <c r="H1024" s="833"/>
      <c r="I1024" s="834"/>
      <c r="J1024" s="834"/>
      <c r="K1024" s="835"/>
      <c r="L1024" s="835"/>
      <c r="M1024" s="835"/>
      <c r="N1024" s="835"/>
      <c r="O1024" s="835"/>
      <c r="P1024" s="835"/>
      <c r="Q1024" s="540"/>
      <c r="R1024" s="540"/>
      <c r="S1024" s="540"/>
      <c r="T1024" s="540"/>
      <c r="U1024" s="540"/>
      <c r="V1024" s="540"/>
      <c r="W1024" s="540"/>
      <c r="X1024" s="540"/>
      <c r="Y1024" s="540"/>
      <c r="Z1024" s="540"/>
    </row>
    <row r="1025" spans="1:26" ht="19">
      <c r="A1025" s="631"/>
      <c r="B1025" s="631"/>
      <c r="C1025" s="631"/>
      <c r="D1025" s="832"/>
      <c r="E1025" s="631"/>
      <c r="F1025" s="631"/>
      <c r="G1025" s="631"/>
      <c r="H1025" s="833"/>
      <c r="I1025" s="834"/>
      <c r="J1025" s="834"/>
      <c r="K1025" s="835"/>
      <c r="L1025" s="835"/>
      <c r="M1025" s="835"/>
      <c r="N1025" s="835"/>
      <c r="O1025" s="835"/>
      <c r="P1025" s="835"/>
      <c r="Q1025" s="540"/>
      <c r="R1025" s="540"/>
      <c r="S1025" s="540"/>
      <c r="T1025" s="540"/>
      <c r="U1025" s="540"/>
      <c r="V1025" s="540"/>
      <c r="W1025" s="540"/>
      <c r="X1025" s="540"/>
      <c r="Y1025" s="540"/>
      <c r="Z1025" s="540"/>
    </row>
    <row r="1026" spans="1:26" ht="19">
      <c r="A1026" s="631"/>
      <c r="B1026" s="631"/>
      <c r="C1026" s="631"/>
      <c r="D1026" s="832"/>
      <c r="E1026" s="631"/>
      <c r="F1026" s="631"/>
      <c r="G1026" s="631"/>
      <c r="H1026" s="833"/>
      <c r="I1026" s="834"/>
      <c r="J1026" s="834"/>
      <c r="K1026" s="835"/>
      <c r="L1026" s="835"/>
      <c r="M1026" s="835"/>
      <c r="N1026" s="835"/>
      <c r="O1026" s="835"/>
      <c r="P1026" s="835"/>
      <c r="Q1026" s="540"/>
      <c r="R1026" s="540"/>
      <c r="S1026" s="540"/>
      <c r="T1026" s="540"/>
      <c r="U1026" s="540"/>
      <c r="V1026" s="540"/>
      <c r="W1026" s="540"/>
      <c r="X1026" s="540"/>
      <c r="Y1026" s="540"/>
      <c r="Z1026" s="540"/>
    </row>
    <row r="1027" spans="1:26" ht="19">
      <c r="A1027" s="631"/>
      <c r="B1027" s="631"/>
      <c r="C1027" s="631"/>
      <c r="D1027" s="832"/>
      <c r="E1027" s="631"/>
      <c r="F1027" s="631"/>
      <c r="G1027" s="631"/>
      <c r="H1027" s="833"/>
      <c r="I1027" s="834"/>
      <c r="J1027" s="834"/>
      <c r="K1027" s="835"/>
      <c r="L1027" s="835"/>
      <c r="M1027" s="835"/>
      <c r="N1027" s="835"/>
      <c r="O1027" s="835"/>
      <c r="P1027" s="835"/>
      <c r="Q1027" s="540"/>
      <c r="R1027" s="540"/>
      <c r="S1027" s="540"/>
      <c r="T1027" s="540"/>
      <c r="U1027" s="540"/>
      <c r="V1027" s="540"/>
      <c r="W1027" s="540"/>
      <c r="X1027" s="540"/>
      <c r="Y1027" s="540"/>
      <c r="Z1027" s="540"/>
    </row>
    <row r="1028" spans="1:26" ht="19">
      <c r="A1028" s="631"/>
      <c r="B1028" s="631"/>
      <c r="C1028" s="631"/>
      <c r="D1028" s="832"/>
      <c r="E1028" s="631"/>
      <c r="F1028" s="631"/>
      <c r="G1028" s="631"/>
      <c r="H1028" s="833"/>
      <c r="I1028" s="834"/>
      <c r="J1028" s="834"/>
      <c r="K1028" s="835"/>
      <c r="L1028" s="835"/>
      <c r="M1028" s="835"/>
      <c r="N1028" s="835"/>
      <c r="O1028" s="835"/>
      <c r="P1028" s="835"/>
      <c r="Q1028" s="540"/>
      <c r="R1028" s="540"/>
      <c r="S1028" s="540"/>
      <c r="T1028" s="540"/>
      <c r="U1028" s="540"/>
      <c r="V1028" s="540"/>
      <c r="W1028" s="540"/>
      <c r="X1028" s="540"/>
      <c r="Y1028" s="540"/>
      <c r="Z1028" s="540"/>
    </row>
    <row r="1029" spans="1:26" ht="19">
      <c r="A1029" s="631"/>
      <c r="B1029" s="631"/>
      <c r="C1029" s="631"/>
      <c r="D1029" s="832"/>
      <c r="E1029" s="631"/>
      <c r="F1029" s="631"/>
      <c r="G1029" s="631"/>
      <c r="H1029" s="833"/>
      <c r="I1029" s="834"/>
      <c r="J1029" s="834"/>
      <c r="K1029" s="835"/>
      <c r="L1029" s="835"/>
      <c r="M1029" s="835"/>
      <c r="N1029" s="835"/>
      <c r="O1029" s="835"/>
      <c r="P1029" s="835"/>
      <c r="Q1029" s="540"/>
      <c r="R1029" s="540"/>
      <c r="S1029" s="540"/>
      <c r="T1029" s="540"/>
      <c r="U1029" s="540"/>
      <c r="V1029" s="540"/>
      <c r="W1029" s="540"/>
      <c r="X1029" s="540"/>
      <c r="Y1029" s="540"/>
      <c r="Z1029" s="540"/>
    </row>
    <row r="1030" spans="1:26" ht="19">
      <c r="A1030" s="631"/>
      <c r="B1030" s="631"/>
      <c r="C1030" s="631"/>
      <c r="D1030" s="832"/>
      <c r="E1030" s="631"/>
      <c r="F1030" s="631"/>
      <c r="G1030" s="631"/>
      <c r="H1030" s="833"/>
      <c r="I1030" s="834"/>
      <c r="J1030" s="834"/>
      <c r="K1030" s="835"/>
      <c r="L1030" s="835"/>
      <c r="M1030" s="835"/>
      <c r="N1030" s="835"/>
      <c r="O1030" s="835"/>
      <c r="P1030" s="835"/>
      <c r="Q1030" s="540"/>
      <c r="R1030" s="540"/>
      <c r="S1030" s="540"/>
      <c r="T1030" s="540"/>
      <c r="U1030" s="540"/>
      <c r="V1030" s="540"/>
      <c r="W1030" s="540"/>
      <c r="X1030" s="540"/>
      <c r="Y1030" s="540"/>
      <c r="Z1030" s="540"/>
    </row>
    <row r="1031" spans="1:26" ht="19">
      <c r="A1031" s="631"/>
      <c r="B1031" s="631"/>
      <c r="C1031" s="631"/>
      <c r="D1031" s="832"/>
      <c r="E1031" s="631"/>
      <c r="F1031" s="631"/>
      <c r="G1031" s="631"/>
      <c r="H1031" s="833"/>
      <c r="I1031" s="834"/>
      <c r="J1031" s="834"/>
      <c r="K1031" s="835"/>
      <c r="L1031" s="835"/>
      <c r="M1031" s="835"/>
      <c r="N1031" s="835"/>
      <c r="O1031" s="835"/>
      <c r="P1031" s="835"/>
      <c r="Q1031" s="540"/>
      <c r="R1031" s="540"/>
      <c r="S1031" s="540"/>
      <c r="T1031" s="540"/>
      <c r="U1031" s="540"/>
      <c r="V1031" s="540"/>
      <c r="W1031" s="540"/>
      <c r="X1031" s="540"/>
      <c r="Y1031" s="540"/>
      <c r="Z1031" s="540"/>
    </row>
    <row r="1032" spans="1:26" ht="19">
      <c r="A1032" s="631"/>
      <c r="B1032" s="631"/>
      <c r="C1032" s="631"/>
      <c r="D1032" s="832"/>
      <c r="E1032" s="631"/>
      <c r="F1032" s="631"/>
      <c r="G1032" s="631"/>
      <c r="H1032" s="833"/>
      <c r="I1032" s="834"/>
      <c r="J1032" s="834"/>
      <c r="K1032" s="835"/>
      <c r="L1032" s="835"/>
      <c r="M1032" s="835"/>
      <c r="N1032" s="835"/>
      <c r="O1032" s="835"/>
      <c r="P1032" s="835"/>
      <c r="Q1032" s="540"/>
      <c r="R1032" s="540"/>
      <c r="S1032" s="540"/>
      <c r="T1032" s="540"/>
      <c r="U1032" s="540"/>
      <c r="V1032" s="540"/>
      <c r="W1032" s="540"/>
      <c r="X1032" s="540"/>
      <c r="Y1032" s="540"/>
      <c r="Z1032" s="540"/>
    </row>
    <row r="1033" spans="1:26" ht="19">
      <c r="A1033" s="631"/>
      <c r="B1033" s="631"/>
      <c r="C1033" s="631"/>
      <c r="D1033" s="832"/>
      <c r="E1033" s="631"/>
      <c r="F1033" s="631"/>
      <c r="G1033" s="631"/>
      <c r="H1033" s="833"/>
      <c r="I1033" s="834"/>
      <c r="J1033" s="834"/>
      <c r="K1033" s="835"/>
      <c r="L1033" s="835"/>
      <c r="M1033" s="835"/>
      <c r="N1033" s="835"/>
      <c r="O1033" s="835"/>
      <c r="P1033" s="835"/>
      <c r="Q1033" s="540"/>
      <c r="R1033" s="540"/>
      <c r="S1033" s="540"/>
      <c r="T1033" s="540"/>
      <c r="U1033" s="540"/>
      <c r="V1033" s="540"/>
      <c r="W1033" s="540"/>
      <c r="X1033" s="540"/>
      <c r="Y1033" s="540"/>
      <c r="Z1033" s="540"/>
    </row>
    <row r="1034" spans="1:26" ht="19">
      <c r="A1034" s="631"/>
      <c r="B1034" s="631"/>
      <c r="C1034" s="631"/>
      <c r="D1034" s="832"/>
      <c r="E1034" s="631"/>
      <c r="F1034" s="631"/>
      <c r="G1034" s="631"/>
      <c r="H1034" s="833"/>
      <c r="I1034" s="834"/>
      <c r="J1034" s="834"/>
      <c r="K1034" s="835"/>
      <c r="L1034" s="835"/>
      <c r="M1034" s="835"/>
      <c r="N1034" s="835"/>
      <c r="O1034" s="835"/>
      <c r="P1034" s="835"/>
      <c r="Q1034" s="540"/>
      <c r="R1034" s="540"/>
      <c r="S1034" s="540"/>
      <c r="T1034" s="540"/>
      <c r="U1034" s="540"/>
      <c r="V1034" s="540"/>
      <c r="W1034" s="540"/>
      <c r="X1034" s="540"/>
      <c r="Y1034" s="540"/>
      <c r="Z1034" s="540"/>
    </row>
    <row r="1035" spans="1:26" ht="19">
      <c r="A1035" s="631"/>
      <c r="B1035" s="631"/>
      <c r="C1035" s="631"/>
      <c r="D1035" s="832"/>
      <c r="E1035" s="631"/>
      <c r="F1035" s="631"/>
      <c r="G1035" s="631"/>
      <c r="H1035" s="833"/>
      <c r="I1035" s="834"/>
      <c r="J1035" s="834"/>
      <c r="K1035" s="835"/>
      <c r="L1035" s="835"/>
      <c r="M1035" s="835"/>
      <c r="N1035" s="835"/>
      <c r="O1035" s="835"/>
      <c r="P1035" s="835"/>
      <c r="Q1035" s="540"/>
      <c r="R1035" s="540"/>
      <c r="S1035" s="540"/>
      <c r="T1035" s="540"/>
      <c r="U1035" s="540"/>
      <c r="V1035" s="540"/>
      <c r="W1035" s="540"/>
      <c r="X1035" s="540"/>
      <c r="Y1035" s="540"/>
      <c r="Z1035" s="540"/>
    </row>
    <row r="1036" spans="1:26" ht="19">
      <c r="A1036" s="631"/>
      <c r="B1036" s="631"/>
      <c r="C1036" s="631"/>
      <c r="D1036" s="832"/>
      <c r="E1036" s="631"/>
      <c r="F1036" s="631"/>
      <c r="G1036" s="631"/>
      <c r="H1036" s="833"/>
      <c r="I1036" s="834"/>
      <c r="J1036" s="834"/>
      <c r="K1036" s="835"/>
      <c r="L1036" s="835"/>
      <c r="M1036" s="835"/>
      <c r="N1036" s="835"/>
      <c r="O1036" s="835"/>
      <c r="P1036" s="835"/>
      <c r="Q1036" s="540"/>
      <c r="R1036" s="540"/>
      <c r="S1036" s="540"/>
      <c r="T1036" s="540"/>
      <c r="U1036" s="540"/>
      <c r="V1036" s="540"/>
      <c r="W1036" s="540"/>
      <c r="X1036" s="540"/>
      <c r="Y1036" s="540"/>
      <c r="Z1036" s="540"/>
    </row>
    <row r="1037" spans="1:26" ht="19">
      <c r="A1037" s="631"/>
      <c r="B1037" s="631"/>
      <c r="C1037" s="631"/>
      <c r="D1037" s="832"/>
      <c r="E1037" s="631"/>
      <c r="F1037" s="631"/>
      <c r="G1037" s="631"/>
      <c r="H1037" s="833"/>
      <c r="I1037" s="834"/>
      <c r="J1037" s="834"/>
      <c r="K1037" s="835"/>
      <c r="L1037" s="835"/>
      <c r="M1037" s="835"/>
      <c r="N1037" s="835"/>
      <c r="O1037" s="835"/>
      <c r="P1037" s="835"/>
      <c r="Q1037" s="540"/>
      <c r="R1037" s="540"/>
      <c r="S1037" s="540"/>
      <c r="T1037" s="540"/>
      <c r="U1037" s="540"/>
      <c r="V1037" s="540"/>
      <c r="W1037" s="540"/>
      <c r="X1037" s="540"/>
      <c r="Y1037" s="540"/>
      <c r="Z1037" s="540"/>
    </row>
    <row r="1038" spans="1:26" ht="19">
      <c r="A1038" s="631"/>
      <c r="B1038" s="631"/>
      <c r="C1038" s="631"/>
      <c r="D1038" s="832"/>
      <c r="E1038" s="631"/>
      <c r="F1038" s="631"/>
      <c r="G1038" s="631"/>
      <c r="H1038" s="833"/>
      <c r="I1038" s="834"/>
      <c r="J1038" s="834"/>
      <c r="K1038" s="835"/>
      <c r="L1038" s="835"/>
      <c r="M1038" s="835"/>
      <c r="N1038" s="835"/>
      <c r="O1038" s="835"/>
      <c r="P1038" s="835"/>
      <c r="Q1038" s="540"/>
      <c r="R1038" s="540"/>
      <c r="S1038" s="540"/>
      <c r="T1038" s="540"/>
      <c r="U1038" s="540"/>
      <c r="V1038" s="540"/>
      <c r="W1038" s="540"/>
      <c r="X1038" s="540"/>
      <c r="Y1038" s="540"/>
      <c r="Z1038" s="540"/>
    </row>
    <row r="1039" spans="1:26" ht="19">
      <c r="A1039" s="631"/>
      <c r="B1039" s="631"/>
      <c r="C1039" s="631"/>
      <c r="D1039" s="832"/>
      <c r="E1039" s="631"/>
      <c r="F1039" s="631"/>
      <c r="G1039" s="631"/>
      <c r="H1039" s="833"/>
      <c r="I1039" s="834"/>
      <c r="J1039" s="834"/>
      <c r="K1039" s="835"/>
      <c r="L1039" s="835"/>
      <c r="M1039" s="835"/>
      <c r="N1039" s="835"/>
      <c r="O1039" s="835"/>
      <c r="P1039" s="835"/>
      <c r="Q1039" s="540"/>
      <c r="R1039" s="540"/>
      <c r="S1039" s="540"/>
      <c r="T1039" s="540"/>
      <c r="U1039" s="540"/>
      <c r="V1039" s="540"/>
      <c r="W1039" s="540"/>
      <c r="X1039" s="540"/>
      <c r="Y1039" s="540"/>
      <c r="Z1039" s="540"/>
    </row>
    <row r="1040" spans="1:26" ht="19">
      <c r="A1040" s="631"/>
      <c r="B1040" s="631"/>
      <c r="C1040" s="631"/>
      <c r="D1040" s="832"/>
      <c r="E1040" s="631"/>
      <c r="F1040" s="631"/>
      <c r="G1040" s="631"/>
      <c r="H1040" s="833"/>
      <c r="I1040" s="834"/>
      <c r="J1040" s="834"/>
      <c r="K1040" s="835"/>
      <c r="L1040" s="835"/>
      <c r="M1040" s="835"/>
      <c r="N1040" s="835"/>
      <c r="O1040" s="835"/>
      <c r="P1040" s="835"/>
      <c r="Q1040" s="540"/>
      <c r="R1040" s="540"/>
      <c r="S1040" s="540"/>
      <c r="T1040" s="540"/>
      <c r="U1040" s="540"/>
      <c r="V1040" s="540"/>
      <c r="W1040" s="540"/>
      <c r="X1040" s="540"/>
      <c r="Y1040" s="540"/>
      <c r="Z1040" s="540"/>
    </row>
    <row r="1041" spans="1:26" ht="19">
      <c r="A1041" s="631"/>
      <c r="B1041" s="631"/>
      <c r="C1041" s="631"/>
      <c r="D1041" s="832"/>
      <c r="E1041" s="631"/>
      <c r="F1041" s="631"/>
      <c r="G1041" s="631"/>
      <c r="H1041" s="833"/>
      <c r="I1041" s="834"/>
      <c r="J1041" s="834"/>
      <c r="K1041" s="835"/>
      <c r="L1041" s="835"/>
      <c r="M1041" s="835"/>
      <c r="N1041" s="835"/>
      <c r="O1041" s="835"/>
      <c r="P1041" s="835"/>
      <c r="Q1041" s="540"/>
      <c r="R1041" s="540"/>
      <c r="S1041" s="540"/>
      <c r="T1041" s="540"/>
      <c r="U1041" s="540"/>
      <c r="V1041" s="540"/>
      <c r="W1041" s="540"/>
      <c r="X1041" s="540"/>
      <c r="Y1041" s="540"/>
      <c r="Z1041" s="540"/>
    </row>
    <row r="1042" spans="1:26" ht="19">
      <c r="A1042" s="631"/>
      <c r="B1042" s="631"/>
      <c r="C1042" s="631"/>
      <c r="D1042" s="832"/>
      <c r="E1042" s="631"/>
      <c r="F1042" s="631"/>
      <c r="G1042" s="631"/>
      <c r="H1042" s="833"/>
      <c r="I1042" s="834"/>
      <c r="J1042" s="834"/>
      <c r="K1042" s="835"/>
      <c r="L1042" s="835"/>
      <c r="M1042" s="835"/>
      <c r="N1042" s="835"/>
      <c r="O1042" s="835"/>
      <c r="P1042" s="835"/>
      <c r="Q1042" s="540"/>
      <c r="R1042" s="540"/>
      <c r="S1042" s="540"/>
      <c r="T1042" s="540"/>
      <c r="U1042" s="540"/>
      <c r="V1042" s="540"/>
      <c r="W1042" s="540"/>
      <c r="X1042" s="540"/>
      <c r="Y1042" s="540"/>
      <c r="Z1042" s="540"/>
    </row>
    <row r="1043" spans="1:26" ht="19">
      <c r="A1043" s="631"/>
      <c r="B1043" s="631"/>
      <c r="C1043" s="631"/>
      <c r="D1043" s="832"/>
      <c r="E1043" s="631"/>
      <c r="F1043" s="631"/>
      <c r="G1043" s="631"/>
      <c r="H1043" s="833"/>
      <c r="I1043" s="834"/>
      <c r="J1043" s="834"/>
      <c r="K1043" s="835"/>
      <c r="L1043" s="835"/>
      <c r="M1043" s="835"/>
      <c r="N1043" s="835"/>
      <c r="O1043" s="835"/>
      <c r="P1043" s="835"/>
      <c r="Q1043" s="540"/>
      <c r="R1043" s="540"/>
      <c r="S1043" s="540"/>
      <c r="T1043" s="540"/>
      <c r="U1043" s="540"/>
      <c r="V1043" s="540"/>
      <c r="W1043" s="540"/>
      <c r="X1043" s="540"/>
      <c r="Y1043" s="540"/>
      <c r="Z1043" s="540"/>
    </row>
    <row r="1044" spans="1:26" ht="19">
      <c r="A1044" s="631"/>
      <c r="B1044" s="631"/>
      <c r="C1044" s="631"/>
      <c r="D1044" s="832"/>
      <c r="E1044" s="631"/>
      <c r="F1044" s="631"/>
      <c r="G1044" s="631"/>
      <c r="H1044" s="833"/>
      <c r="I1044" s="834"/>
      <c r="J1044" s="834"/>
      <c r="K1044" s="835"/>
      <c r="L1044" s="835"/>
      <c r="M1044" s="835"/>
      <c r="N1044" s="835"/>
      <c r="O1044" s="835"/>
      <c r="P1044" s="835"/>
      <c r="Q1044" s="540"/>
      <c r="R1044" s="540"/>
      <c r="S1044" s="540"/>
      <c r="T1044" s="540"/>
      <c r="U1044" s="540"/>
      <c r="V1044" s="540"/>
      <c r="W1044" s="540"/>
      <c r="X1044" s="540"/>
      <c r="Y1044" s="540"/>
      <c r="Z1044" s="540"/>
    </row>
    <row r="1045" spans="1:26" ht="19">
      <c r="A1045" s="631"/>
      <c r="B1045" s="631"/>
      <c r="C1045" s="631"/>
      <c r="D1045" s="832"/>
      <c r="E1045" s="631"/>
      <c r="F1045" s="631"/>
      <c r="G1045" s="631"/>
      <c r="H1045" s="833"/>
      <c r="I1045" s="834"/>
      <c r="J1045" s="834"/>
      <c r="K1045" s="835"/>
      <c r="L1045" s="835"/>
      <c r="M1045" s="835"/>
      <c r="N1045" s="835"/>
      <c r="O1045" s="835"/>
      <c r="P1045" s="835"/>
      <c r="Q1045" s="540"/>
      <c r="R1045" s="540"/>
      <c r="S1045" s="540"/>
      <c r="T1045" s="540"/>
      <c r="U1045" s="540"/>
      <c r="V1045" s="540"/>
      <c r="W1045" s="540"/>
      <c r="X1045" s="540"/>
      <c r="Y1045" s="540"/>
      <c r="Z1045" s="540"/>
    </row>
    <row r="1046" spans="1:26" ht="19">
      <c r="A1046" s="631"/>
      <c r="B1046" s="631"/>
      <c r="C1046" s="631"/>
      <c r="D1046" s="832"/>
      <c r="E1046" s="631"/>
      <c r="F1046" s="631"/>
      <c r="G1046" s="631"/>
      <c r="H1046" s="833"/>
      <c r="I1046" s="834"/>
      <c r="J1046" s="834"/>
      <c r="K1046" s="835"/>
      <c r="L1046" s="835"/>
      <c r="M1046" s="835"/>
      <c r="N1046" s="835"/>
      <c r="O1046" s="835"/>
      <c r="P1046" s="835"/>
      <c r="Q1046" s="540"/>
      <c r="R1046" s="540"/>
      <c r="S1046" s="540"/>
      <c r="T1046" s="540"/>
      <c r="U1046" s="540"/>
      <c r="V1046" s="540"/>
      <c r="W1046" s="540"/>
      <c r="X1046" s="540"/>
      <c r="Y1046" s="540"/>
      <c r="Z1046" s="540"/>
    </row>
    <row r="1047" spans="1:26" ht="19">
      <c r="A1047" s="631"/>
      <c r="B1047" s="631"/>
      <c r="C1047" s="631"/>
      <c r="D1047" s="832"/>
      <c r="E1047" s="631"/>
      <c r="F1047" s="631"/>
      <c r="G1047" s="631"/>
      <c r="H1047" s="833"/>
      <c r="I1047" s="834"/>
      <c r="J1047" s="834"/>
      <c r="K1047" s="835"/>
      <c r="L1047" s="835"/>
      <c r="M1047" s="835"/>
      <c r="N1047" s="835"/>
      <c r="O1047" s="835"/>
      <c r="P1047" s="835"/>
      <c r="Q1047" s="540"/>
      <c r="R1047" s="540"/>
      <c r="S1047" s="540"/>
      <c r="T1047" s="540"/>
      <c r="U1047" s="540"/>
      <c r="V1047" s="540"/>
      <c r="W1047" s="540"/>
      <c r="X1047" s="540"/>
      <c r="Y1047" s="540"/>
      <c r="Z1047" s="540"/>
    </row>
    <row r="1048" spans="1:26" ht="19">
      <c r="A1048" s="631"/>
      <c r="B1048" s="631"/>
      <c r="C1048" s="631"/>
      <c r="D1048" s="832"/>
      <c r="E1048" s="631"/>
      <c r="F1048" s="631"/>
      <c r="G1048" s="631"/>
      <c r="H1048" s="833"/>
      <c r="I1048" s="834"/>
      <c r="J1048" s="834"/>
      <c r="K1048" s="835"/>
      <c r="L1048" s="835"/>
      <c r="M1048" s="835"/>
      <c r="N1048" s="835"/>
      <c r="O1048" s="835"/>
      <c r="P1048" s="835"/>
      <c r="Q1048" s="540"/>
      <c r="R1048" s="540"/>
      <c r="S1048" s="540"/>
      <c r="T1048" s="540"/>
      <c r="U1048" s="540"/>
      <c r="V1048" s="540"/>
      <c r="W1048" s="540"/>
      <c r="X1048" s="540"/>
      <c r="Y1048" s="540"/>
      <c r="Z1048" s="540"/>
    </row>
    <row r="1049" spans="1:26" ht="19">
      <c r="A1049" s="631"/>
      <c r="B1049" s="631"/>
      <c r="C1049" s="631"/>
      <c r="D1049" s="832"/>
      <c r="E1049" s="631"/>
      <c r="F1049" s="631"/>
      <c r="G1049" s="631"/>
      <c r="H1049" s="833"/>
      <c r="I1049" s="834"/>
      <c r="J1049" s="834"/>
      <c r="K1049" s="835"/>
      <c r="L1049" s="835"/>
      <c r="M1049" s="835"/>
      <c r="N1049" s="835"/>
      <c r="O1049" s="835"/>
      <c r="P1049" s="835"/>
      <c r="Q1049" s="540"/>
      <c r="R1049" s="540"/>
      <c r="S1049" s="540"/>
      <c r="T1049" s="540"/>
      <c r="U1049" s="540"/>
      <c r="V1049" s="540"/>
      <c r="W1049" s="540"/>
      <c r="X1049" s="540"/>
      <c r="Y1049" s="540"/>
      <c r="Z1049" s="540"/>
    </row>
    <row r="1050" spans="1:26" ht="19">
      <c r="A1050" s="631"/>
      <c r="B1050" s="631"/>
      <c r="C1050" s="631"/>
      <c r="D1050" s="832"/>
      <c r="E1050" s="631"/>
      <c r="F1050" s="631"/>
      <c r="G1050" s="631"/>
      <c r="H1050" s="833"/>
      <c r="I1050" s="834"/>
      <c r="J1050" s="834"/>
      <c r="K1050" s="835"/>
      <c r="L1050" s="835"/>
      <c r="M1050" s="835"/>
      <c r="N1050" s="835"/>
      <c r="O1050" s="835"/>
      <c r="P1050" s="835"/>
      <c r="Q1050" s="540"/>
      <c r="R1050" s="540"/>
      <c r="S1050" s="540"/>
      <c r="T1050" s="540"/>
      <c r="U1050" s="540"/>
      <c r="V1050" s="540"/>
      <c r="W1050" s="540"/>
      <c r="X1050" s="540"/>
      <c r="Y1050" s="540"/>
      <c r="Z1050" s="540"/>
    </row>
    <row r="1051" spans="1:26" ht="19">
      <c r="A1051" s="631"/>
      <c r="B1051" s="631"/>
      <c r="C1051" s="631"/>
      <c r="D1051" s="832"/>
      <c r="E1051" s="631"/>
      <c r="F1051" s="631"/>
      <c r="G1051" s="631"/>
      <c r="H1051" s="833"/>
      <c r="I1051" s="834"/>
      <c r="J1051" s="834"/>
      <c r="K1051" s="835"/>
      <c r="L1051" s="835"/>
      <c r="M1051" s="835"/>
      <c r="N1051" s="835"/>
      <c r="O1051" s="835"/>
      <c r="P1051" s="835"/>
      <c r="Q1051" s="540"/>
      <c r="R1051" s="540"/>
      <c r="S1051" s="540"/>
      <c r="T1051" s="540"/>
      <c r="U1051" s="540"/>
      <c r="V1051" s="540"/>
      <c r="W1051" s="540"/>
      <c r="X1051" s="540"/>
      <c r="Y1051" s="540"/>
      <c r="Z1051" s="540"/>
    </row>
    <row r="1052" spans="1:26" ht="19">
      <c r="A1052" s="631"/>
      <c r="B1052" s="631"/>
      <c r="C1052" s="631"/>
      <c r="D1052" s="832"/>
      <c r="E1052" s="631"/>
      <c r="F1052" s="631"/>
      <c r="G1052" s="631"/>
      <c r="H1052" s="833"/>
      <c r="I1052" s="834"/>
      <c r="J1052" s="834"/>
      <c r="K1052" s="835"/>
      <c r="L1052" s="835"/>
      <c r="M1052" s="835"/>
      <c r="N1052" s="835"/>
      <c r="O1052" s="835"/>
      <c r="P1052" s="835"/>
      <c r="Q1052" s="540"/>
      <c r="R1052" s="540"/>
      <c r="S1052" s="540"/>
      <c r="T1052" s="540"/>
      <c r="U1052" s="540"/>
      <c r="V1052" s="540"/>
      <c r="W1052" s="540"/>
      <c r="X1052" s="540"/>
      <c r="Y1052" s="540"/>
      <c r="Z1052" s="540"/>
    </row>
    <row r="1053" spans="1:26" ht="19">
      <c r="A1053" s="631"/>
      <c r="B1053" s="631"/>
      <c r="C1053" s="631"/>
      <c r="D1053" s="832"/>
      <c r="E1053" s="631"/>
      <c r="F1053" s="631"/>
      <c r="G1053" s="631"/>
      <c r="H1053" s="833"/>
      <c r="I1053" s="834"/>
      <c r="J1053" s="834"/>
      <c r="K1053" s="835"/>
      <c r="L1053" s="835"/>
      <c r="M1053" s="835"/>
      <c r="N1053" s="835"/>
      <c r="O1053" s="835"/>
      <c r="P1053" s="835"/>
      <c r="Q1053" s="540"/>
      <c r="R1053" s="540"/>
      <c r="S1053" s="540"/>
      <c r="T1053" s="540"/>
      <c r="U1053" s="540"/>
      <c r="V1053" s="540"/>
      <c r="W1053" s="540"/>
      <c r="X1053" s="540"/>
      <c r="Y1053" s="540"/>
      <c r="Z1053" s="540"/>
    </row>
    <row r="1054" spans="1:26" ht="19">
      <c r="A1054" s="631"/>
      <c r="B1054" s="631"/>
      <c r="C1054" s="631"/>
      <c r="D1054" s="832"/>
      <c r="E1054" s="631"/>
      <c r="F1054" s="631"/>
      <c r="G1054" s="631"/>
      <c r="H1054" s="833"/>
      <c r="I1054" s="834"/>
      <c r="J1054" s="834"/>
      <c r="K1054" s="835"/>
      <c r="L1054" s="835"/>
      <c r="M1054" s="835"/>
      <c r="N1054" s="835"/>
      <c r="O1054" s="835"/>
      <c r="P1054" s="835"/>
      <c r="Q1054" s="540"/>
      <c r="R1054" s="540"/>
      <c r="S1054" s="540"/>
      <c r="T1054" s="540"/>
      <c r="U1054" s="540"/>
      <c r="V1054" s="540"/>
      <c r="W1054" s="540"/>
      <c r="X1054" s="540"/>
      <c r="Y1054" s="540"/>
      <c r="Z1054" s="540"/>
    </row>
    <row r="1055" spans="1:26" ht="19">
      <c r="A1055" s="631"/>
      <c r="B1055" s="631"/>
      <c r="C1055" s="631"/>
      <c r="D1055" s="832"/>
      <c r="E1055" s="631"/>
      <c r="F1055" s="631"/>
      <c r="G1055" s="631"/>
      <c r="H1055" s="833"/>
      <c r="I1055" s="834"/>
      <c r="J1055" s="834"/>
      <c r="K1055" s="835"/>
      <c r="L1055" s="835"/>
      <c r="M1055" s="835"/>
      <c r="N1055" s="835"/>
      <c r="O1055" s="835"/>
      <c r="P1055" s="835"/>
      <c r="Q1055" s="540"/>
      <c r="R1055" s="540"/>
      <c r="S1055" s="540"/>
      <c r="T1055" s="540"/>
      <c r="U1055" s="540"/>
      <c r="V1055" s="540"/>
      <c r="W1055" s="540"/>
      <c r="X1055" s="540"/>
      <c r="Y1055" s="540"/>
      <c r="Z1055" s="540"/>
    </row>
    <row r="1056" spans="1:26" ht="19">
      <c r="A1056" s="631"/>
      <c r="B1056" s="631"/>
      <c r="C1056" s="631"/>
      <c r="D1056" s="832"/>
      <c r="E1056" s="631"/>
      <c r="F1056" s="631"/>
      <c r="G1056" s="631"/>
      <c r="H1056" s="833"/>
      <c r="I1056" s="834"/>
      <c r="J1056" s="834"/>
      <c r="K1056" s="835"/>
      <c r="L1056" s="835"/>
      <c r="M1056" s="835"/>
      <c r="N1056" s="835"/>
      <c r="O1056" s="835"/>
      <c r="P1056" s="835"/>
      <c r="Q1056" s="540"/>
      <c r="R1056" s="540"/>
      <c r="S1056" s="540"/>
      <c r="T1056" s="540"/>
      <c r="U1056" s="540"/>
      <c r="V1056" s="540"/>
      <c r="W1056" s="540"/>
      <c r="X1056" s="540"/>
      <c r="Y1056" s="540"/>
      <c r="Z1056" s="540"/>
    </row>
    <row r="1057" spans="1:26" ht="19">
      <c r="A1057" s="631"/>
      <c r="B1057" s="631"/>
      <c r="C1057" s="631"/>
      <c r="D1057" s="832"/>
      <c r="E1057" s="631"/>
      <c r="F1057" s="631"/>
      <c r="G1057" s="631"/>
      <c r="H1057" s="833"/>
      <c r="I1057" s="834"/>
      <c r="J1057" s="834"/>
      <c r="K1057" s="835"/>
      <c r="L1057" s="835"/>
      <c r="M1057" s="835"/>
      <c r="N1057" s="835"/>
      <c r="O1057" s="835"/>
      <c r="P1057" s="835"/>
      <c r="Q1057" s="540"/>
      <c r="R1057" s="540"/>
      <c r="S1057" s="540"/>
      <c r="T1057" s="540"/>
      <c r="U1057" s="540"/>
      <c r="V1057" s="540"/>
      <c r="W1057" s="540"/>
      <c r="X1057" s="540"/>
      <c r="Y1057" s="540"/>
      <c r="Z1057" s="540"/>
    </row>
    <row r="1058" spans="1:26" ht="19">
      <c r="A1058" s="631"/>
      <c r="B1058" s="631"/>
      <c r="C1058" s="631"/>
      <c r="D1058" s="832"/>
      <c r="E1058" s="631"/>
      <c r="F1058" s="631"/>
      <c r="G1058" s="631"/>
      <c r="H1058" s="833"/>
      <c r="I1058" s="834"/>
      <c r="J1058" s="834"/>
      <c r="K1058" s="835"/>
      <c r="L1058" s="835"/>
      <c r="M1058" s="835"/>
      <c r="N1058" s="835"/>
      <c r="O1058" s="835"/>
      <c r="P1058" s="835"/>
      <c r="Q1058" s="540"/>
      <c r="R1058" s="540"/>
      <c r="S1058" s="540"/>
      <c r="T1058" s="540"/>
      <c r="U1058" s="540"/>
      <c r="V1058" s="540"/>
      <c r="W1058" s="540"/>
      <c r="X1058" s="540"/>
      <c r="Y1058" s="540"/>
      <c r="Z1058" s="540"/>
    </row>
    <row r="1059" spans="1:26" ht="19">
      <c r="A1059" s="631"/>
      <c r="B1059" s="631"/>
      <c r="C1059" s="631"/>
      <c r="D1059" s="832"/>
      <c r="E1059" s="631"/>
      <c r="F1059" s="631"/>
      <c r="G1059" s="631"/>
      <c r="H1059" s="833"/>
      <c r="I1059" s="834"/>
      <c r="J1059" s="834"/>
      <c r="K1059" s="835"/>
      <c r="L1059" s="835"/>
      <c r="M1059" s="835"/>
      <c r="N1059" s="835"/>
      <c r="O1059" s="835"/>
      <c r="P1059" s="835"/>
      <c r="Q1059" s="540"/>
      <c r="R1059" s="540"/>
      <c r="S1059" s="540"/>
      <c r="T1059" s="540"/>
      <c r="U1059" s="540"/>
      <c r="V1059" s="540"/>
      <c r="W1059" s="540"/>
      <c r="X1059" s="540"/>
      <c r="Y1059" s="540"/>
      <c r="Z1059" s="540"/>
    </row>
    <row r="1060" spans="1:26" ht="19">
      <c r="A1060" s="631"/>
      <c r="B1060" s="631"/>
      <c r="C1060" s="631"/>
      <c r="D1060" s="832"/>
      <c r="E1060" s="631"/>
      <c r="F1060" s="631"/>
      <c r="G1060" s="631"/>
      <c r="H1060" s="833"/>
      <c r="I1060" s="834"/>
      <c r="J1060" s="834"/>
      <c r="K1060" s="835"/>
      <c r="L1060" s="835"/>
      <c r="M1060" s="835"/>
      <c r="N1060" s="835"/>
      <c r="O1060" s="835"/>
      <c r="P1060" s="835"/>
      <c r="Q1060" s="540"/>
      <c r="R1060" s="540"/>
      <c r="S1060" s="540"/>
      <c r="T1060" s="540"/>
      <c r="U1060" s="540"/>
      <c r="V1060" s="540"/>
      <c r="W1060" s="540"/>
      <c r="X1060" s="540"/>
      <c r="Y1060" s="540"/>
      <c r="Z1060" s="540"/>
    </row>
    <row r="1061" spans="1:26" ht="19">
      <c r="A1061" s="631"/>
      <c r="B1061" s="631"/>
      <c r="C1061" s="631"/>
      <c r="D1061" s="832"/>
      <c r="E1061" s="631"/>
      <c r="F1061" s="631"/>
      <c r="G1061" s="631"/>
      <c r="H1061" s="833"/>
      <c r="I1061" s="834"/>
      <c r="J1061" s="834"/>
      <c r="K1061" s="835"/>
      <c r="L1061" s="835"/>
      <c r="M1061" s="835"/>
      <c r="N1061" s="835"/>
      <c r="O1061" s="835"/>
      <c r="P1061" s="835"/>
      <c r="Q1061" s="540"/>
      <c r="R1061" s="540"/>
      <c r="S1061" s="540"/>
      <c r="T1061" s="540"/>
      <c r="U1061" s="540"/>
      <c r="V1061" s="540"/>
      <c r="W1061" s="540"/>
      <c r="X1061" s="540"/>
      <c r="Y1061" s="540"/>
      <c r="Z1061" s="540"/>
    </row>
    <row r="1062" spans="1:26" ht="19">
      <c r="A1062" s="631"/>
      <c r="B1062" s="631"/>
      <c r="C1062" s="631"/>
      <c r="D1062" s="832"/>
      <c r="E1062" s="631"/>
      <c r="F1062" s="631"/>
      <c r="G1062" s="631"/>
      <c r="H1062" s="833"/>
      <c r="I1062" s="834"/>
      <c r="J1062" s="834"/>
      <c r="K1062" s="835"/>
      <c r="L1062" s="835"/>
      <c r="M1062" s="835"/>
      <c r="N1062" s="835"/>
      <c r="O1062" s="835"/>
      <c r="P1062" s="835"/>
      <c r="Q1062" s="540"/>
      <c r="R1062" s="540"/>
      <c r="S1062" s="540"/>
      <c r="T1062" s="540"/>
      <c r="U1062" s="540"/>
      <c r="V1062" s="540"/>
      <c r="W1062" s="540"/>
      <c r="X1062" s="540"/>
      <c r="Y1062" s="540"/>
      <c r="Z1062" s="540"/>
    </row>
    <row r="1063" spans="1:26" ht="19">
      <c r="A1063" s="631"/>
      <c r="B1063" s="631"/>
      <c r="C1063" s="631"/>
      <c r="D1063" s="832"/>
      <c r="E1063" s="631"/>
      <c r="F1063" s="631"/>
      <c r="G1063" s="631"/>
      <c r="H1063" s="833"/>
      <c r="I1063" s="834"/>
      <c r="J1063" s="834"/>
      <c r="K1063" s="835"/>
      <c r="L1063" s="835"/>
      <c r="M1063" s="835"/>
      <c r="N1063" s="835"/>
      <c r="O1063" s="835"/>
      <c r="P1063" s="835"/>
      <c r="Q1063" s="540"/>
      <c r="R1063" s="540"/>
      <c r="S1063" s="540"/>
      <c r="T1063" s="540"/>
      <c r="U1063" s="540"/>
      <c r="V1063" s="540"/>
      <c r="W1063" s="540"/>
      <c r="X1063" s="540"/>
      <c r="Y1063" s="540"/>
      <c r="Z1063" s="540"/>
    </row>
    <row r="1064" spans="1:26" ht="19">
      <c r="A1064" s="631"/>
      <c r="B1064" s="631"/>
      <c r="C1064" s="631"/>
      <c r="D1064" s="832"/>
      <c r="E1064" s="631"/>
      <c r="F1064" s="631"/>
      <c r="G1064" s="631"/>
      <c r="H1064" s="833"/>
      <c r="I1064" s="834"/>
      <c r="J1064" s="834"/>
      <c r="K1064" s="835"/>
      <c r="L1064" s="835"/>
      <c r="M1064" s="835"/>
      <c r="N1064" s="835"/>
      <c r="O1064" s="835"/>
      <c r="P1064" s="835"/>
      <c r="Q1064" s="540"/>
      <c r="R1064" s="540"/>
      <c r="S1064" s="540"/>
      <c r="T1064" s="540"/>
      <c r="U1064" s="540"/>
      <c r="V1064" s="540"/>
      <c r="W1064" s="540"/>
      <c r="X1064" s="540"/>
      <c r="Y1064" s="540"/>
      <c r="Z1064" s="540"/>
    </row>
    <row r="1065" spans="1:26" ht="19">
      <c r="A1065" s="631"/>
      <c r="B1065" s="631"/>
      <c r="C1065" s="631"/>
      <c r="D1065" s="832"/>
      <c r="E1065" s="631"/>
      <c r="F1065" s="631"/>
      <c r="G1065" s="631"/>
      <c r="H1065" s="833"/>
      <c r="I1065" s="834"/>
      <c r="J1065" s="834"/>
      <c r="K1065" s="835"/>
      <c r="L1065" s="835"/>
      <c r="M1065" s="835"/>
      <c r="N1065" s="835"/>
      <c r="O1065" s="835"/>
      <c r="P1065" s="835"/>
      <c r="Q1065" s="540"/>
      <c r="R1065" s="540"/>
      <c r="S1065" s="540"/>
      <c r="T1065" s="540"/>
      <c r="U1065" s="540"/>
      <c r="V1065" s="540"/>
      <c r="W1065" s="540"/>
      <c r="X1065" s="540"/>
      <c r="Y1065" s="540"/>
      <c r="Z1065" s="540"/>
    </row>
    <row r="1066" spans="1:26" ht="19">
      <c r="A1066" s="631"/>
      <c r="B1066" s="631"/>
      <c r="C1066" s="631"/>
      <c r="D1066" s="832"/>
      <c r="E1066" s="631"/>
      <c r="F1066" s="631"/>
      <c r="G1066" s="631"/>
      <c r="H1066" s="833"/>
      <c r="I1066" s="834"/>
      <c r="J1066" s="834"/>
      <c r="K1066" s="835"/>
      <c r="L1066" s="835"/>
      <c r="M1066" s="835"/>
      <c r="N1066" s="835"/>
      <c r="O1066" s="835"/>
      <c r="P1066" s="835"/>
      <c r="Q1066" s="540"/>
      <c r="R1066" s="540"/>
      <c r="S1066" s="540"/>
      <c r="T1066" s="540"/>
      <c r="U1066" s="540"/>
      <c r="V1066" s="540"/>
      <c r="W1066" s="540"/>
      <c r="X1066" s="540"/>
      <c r="Y1066" s="540"/>
      <c r="Z1066" s="540"/>
    </row>
    <row r="1067" spans="1:26" ht="19">
      <c r="A1067" s="631"/>
      <c r="B1067" s="631"/>
      <c r="C1067" s="631"/>
      <c r="D1067" s="832"/>
      <c r="E1067" s="631"/>
      <c r="F1067" s="631"/>
      <c r="G1067" s="631"/>
      <c r="H1067" s="833"/>
      <c r="I1067" s="834"/>
      <c r="J1067" s="834"/>
      <c r="K1067" s="835"/>
      <c r="L1067" s="835"/>
      <c r="M1067" s="835"/>
      <c r="N1067" s="835"/>
      <c r="O1067" s="835"/>
      <c r="P1067" s="835"/>
      <c r="Q1067" s="540"/>
      <c r="R1067" s="540"/>
      <c r="S1067" s="540"/>
      <c r="T1067" s="540"/>
      <c r="U1067" s="540"/>
      <c r="V1067" s="540"/>
      <c r="W1067" s="540"/>
      <c r="X1067" s="540"/>
      <c r="Y1067" s="540"/>
      <c r="Z1067" s="540"/>
    </row>
    <row r="1068" spans="1:26" ht="19">
      <c r="A1068" s="631"/>
      <c r="B1068" s="631"/>
      <c r="C1068" s="631"/>
      <c r="D1068" s="832"/>
      <c r="E1068" s="631"/>
      <c r="F1068" s="631"/>
      <c r="G1068" s="631"/>
      <c r="H1068" s="833"/>
      <c r="I1068" s="834"/>
      <c r="J1068" s="834"/>
      <c r="K1068" s="835"/>
      <c r="L1068" s="835"/>
      <c r="M1068" s="835"/>
      <c r="N1068" s="835"/>
      <c r="O1068" s="835"/>
      <c r="P1068" s="835"/>
      <c r="Q1068" s="540"/>
      <c r="R1068" s="540"/>
      <c r="S1068" s="540"/>
      <c r="T1068" s="540"/>
      <c r="U1068" s="540"/>
      <c r="V1068" s="540"/>
      <c r="W1068" s="540"/>
      <c r="X1068" s="540"/>
      <c r="Y1068" s="540"/>
      <c r="Z1068" s="540"/>
    </row>
    <row r="1069" spans="1:26" ht="19">
      <c r="A1069" s="631"/>
      <c r="B1069" s="631"/>
      <c r="C1069" s="631"/>
      <c r="D1069" s="832"/>
      <c r="E1069" s="631"/>
      <c r="F1069" s="631"/>
      <c r="G1069" s="631"/>
      <c r="H1069" s="833"/>
      <c r="I1069" s="834"/>
      <c r="J1069" s="834"/>
      <c r="K1069" s="835"/>
      <c r="L1069" s="835"/>
      <c r="M1069" s="835"/>
      <c r="N1069" s="835"/>
      <c r="O1069" s="835"/>
      <c r="P1069" s="835"/>
      <c r="Q1069" s="540"/>
      <c r="R1069" s="540"/>
      <c r="S1069" s="540"/>
      <c r="T1069" s="540"/>
      <c r="U1069" s="540"/>
      <c r="V1069" s="540"/>
      <c r="W1069" s="540"/>
      <c r="X1069" s="540"/>
      <c r="Y1069" s="540"/>
      <c r="Z1069" s="540"/>
    </row>
    <row r="1070" spans="1:26" ht="19">
      <c r="A1070" s="631"/>
      <c r="B1070" s="631"/>
      <c r="C1070" s="631"/>
      <c r="D1070" s="832"/>
      <c r="E1070" s="631"/>
      <c r="F1070" s="631"/>
      <c r="G1070" s="631"/>
      <c r="H1070" s="833"/>
      <c r="I1070" s="834"/>
      <c r="J1070" s="834"/>
      <c r="K1070" s="835"/>
      <c r="L1070" s="835"/>
      <c r="M1070" s="835"/>
      <c r="N1070" s="835"/>
      <c r="O1070" s="835"/>
      <c r="P1070" s="835"/>
      <c r="Q1070" s="540"/>
      <c r="R1070" s="540"/>
      <c r="S1070" s="540"/>
      <c r="T1070" s="540"/>
      <c r="U1070" s="540"/>
      <c r="V1070" s="540"/>
      <c r="W1070" s="540"/>
      <c r="X1070" s="540"/>
      <c r="Y1070" s="540"/>
      <c r="Z1070" s="540"/>
    </row>
    <row r="1071" spans="1:26" ht="19">
      <c r="A1071" s="631"/>
      <c r="B1071" s="631"/>
      <c r="C1071" s="631"/>
      <c r="D1071" s="832"/>
      <c r="E1071" s="631"/>
      <c r="F1071" s="631"/>
      <c r="G1071" s="631"/>
      <c r="H1071" s="833"/>
      <c r="I1071" s="834"/>
      <c r="J1071" s="834"/>
      <c r="K1071" s="835"/>
      <c r="L1071" s="835"/>
      <c r="M1071" s="835"/>
      <c r="N1071" s="835"/>
      <c r="O1071" s="835"/>
      <c r="P1071" s="835"/>
      <c r="Q1071" s="540"/>
      <c r="R1071" s="540"/>
      <c r="S1071" s="540"/>
      <c r="T1071" s="540"/>
      <c r="U1071" s="540"/>
      <c r="V1071" s="540"/>
      <c r="W1071" s="540"/>
      <c r="X1071" s="540"/>
      <c r="Y1071" s="540"/>
      <c r="Z1071" s="540"/>
    </row>
    <row r="1072" spans="1:26" ht="19">
      <c r="A1072" s="631"/>
      <c r="B1072" s="631"/>
      <c r="C1072" s="631"/>
      <c r="D1072" s="832"/>
      <c r="E1072" s="631"/>
      <c r="F1072" s="631"/>
      <c r="G1072" s="631"/>
      <c r="H1072" s="833"/>
      <c r="I1072" s="834"/>
      <c r="J1072" s="834"/>
      <c r="K1072" s="835"/>
      <c r="L1072" s="835"/>
      <c r="M1072" s="835"/>
      <c r="N1072" s="835"/>
      <c r="O1072" s="835"/>
      <c r="P1072" s="835"/>
      <c r="Q1072" s="540"/>
      <c r="R1072" s="540"/>
      <c r="S1072" s="540"/>
      <c r="T1072" s="540"/>
      <c r="U1072" s="540"/>
      <c r="V1072" s="540"/>
      <c r="W1072" s="540"/>
      <c r="X1072" s="540"/>
      <c r="Y1072" s="540"/>
      <c r="Z1072" s="540"/>
    </row>
    <row r="1073" spans="1:26" ht="19">
      <c r="A1073" s="631"/>
      <c r="B1073" s="631"/>
      <c r="C1073" s="631"/>
      <c r="D1073" s="832"/>
      <c r="E1073" s="631"/>
      <c r="F1073" s="631"/>
      <c r="G1073" s="631"/>
      <c r="H1073" s="833"/>
      <c r="I1073" s="834"/>
      <c r="J1073" s="834"/>
      <c r="K1073" s="835"/>
      <c r="L1073" s="835"/>
      <c r="M1073" s="835"/>
      <c r="N1073" s="835"/>
      <c r="O1073" s="835"/>
      <c r="P1073" s="835"/>
      <c r="Q1073" s="540"/>
      <c r="R1073" s="540"/>
      <c r="S1073" s="540"/>
      <c r="T1073" s="540"/>
      <c r="U1073" s="540"/>
      <c r="V1073" s="540"/>
      <c r="W1073" s="540"/>
      <c r="X1073" s="540"/>
      <c r="Y1073" s="540"/>
      <c r="Z1073" s="540"/>
    </row>
    <row r="1074" spans="1:26" ht="19">
      <c r="A1074" s="631"/>
      <c r="B1074" s="631"/>
      <c r="C1074" s="631"/>
      <c r="D1074" s="832"/>
      <c r="E1074" s="631"/>
      <c r="F1074" s="631"/>
      <c r="G1074" s="631"/>
      <c r="H1074" s="833"/>
      <c r="I1074" s="834"/>
      <c r="J1074" s="834"/>
      <c r="K1074" s="835"/>
      <c r="L1074" s="835"/>
      <c r="M1074" s="835"/>
      <c r="N1074" s="835"/>
      <c r="O1074" s="835"/>
      <c r="P1074" s="835"/>
      <c r="Q1074" s="540"/>
      <c r="R1074" s="540"/>
      <c r="S1074" s="540"/>
      <c r="T1074" s="540"/>
      <c r="U1074" s="540"/>
      <c r="V1074" s="540"/>
      <c r="W1074" s="540"/>
      <c r="X1074" s="540"/>
      <c r="Y1074" s="540"/>
      <c r="Z1074" s="540"/>
    </row>
    <row r="1075" spans="1:26" ht="19">
      <c r="A1075" s="631"/>
      <c r="B1075" s="631"/>
      <c r="C1075" s="631"/>
      <c r="D1075" s="832"/>
      <c r="E1075" s="631"/>
      <c r="F1075" s="631"/>
      <c r="G1075" s="631"/>
      <c r="H1075" s="833"/>
      <c r="I1075" s="834"/>
      <c r="J1075" s="834"/>
      <c r="K1075" s="835"/>
      <c r="L1075" s="835"/>
      <c r="M1075" s="835"/>
      <c r="N1075" s="835"/>
      <c r="O1075" s="835"/>
      <c r="P1075" s="835"/>
      <c r="Q1075" s="540"/>
      <c r="R1075" s="540"/>
      <c r="S1075" s="540"/>
      <c r="T1075" s="540"/>
      <c r="U1075" s="540"/>
      <c r="V1075" s="540"/>
      <c r="W1075" s="540"/>
      <c r="X1075" s="540"/>
      <c r="Y1075" s="540"/>
      <c r="Z1075" s="540"/>
    </row>
    <row r="1076" spans="1:26" ht="19">
      <c r="A1076" s="631"/>
      <c r="B1076" s="631"/>
      <c r="C1076" s="631"/>
      <c r="D1076" s="832"/>
      <c r="E1076" s="631"/>
      <c r="F1076" s="631"/>
      <c r="G1076" s="631"/>
      <c r="H1076" s="833"/>
      <c r="I1076" s="834"/>
      <c r="J1076" s="834"/>
      <c r="K1076" s="835"/>
      <c r="L1076" s="835"/>
      <c r="M1076" s="835"/>
      <c r="N1076" s="835"/>
      <c r="O1076" s="835"/>
      <c r="P1076" s="835"/>
      <c r="Q1076" s="540"/>
      <c r="R1076" s="540"/>
      <c r="S1076" s="540"/>
      <c r="T1076" s="540"/>
      <c r="U1076" s="540"/>
      <c r="V1076" s="540"/>
      <c r="W1076" s="540"/>
      <c r="X1076" s="540"/>
      <c r="Y1076" s="540"/>
      <c r="Z1076" s="540"/>
    </row>
    <row r="1077" spans="1:26" ht="19">
      <c r="A1077" s="631"/>
      <c r="B1077" s="631"/>
      <c r="C1077" s="631"/>
      <c r="D1077" s="832"/>
      <c r="E1077" s="631"/>
      <c r="F1077" s="631"/>
      <c r="G1077" s="631"/>
      <c r="H1077" s="833"/>
      <c r="I1077" s="834"/>
      <c r="J1077" s="834"/>
      <c r="K1077" s="835"/>
      <c r="L1077" s="835"/>
      <c r="M1077" s="835"/>
      <c r="N1077" s="835"/>
      <c r="O1077" s="835"/>
      <c r="P1077" s="835"/>
      <c r="Q1077" s="540"/>
      <c r="R1077" s="540"/>
      <c r="S1077" s="540"/>
      <c r="T1077" s="540"/>
      <c r="U1077" s="540"/>
      <c r="V1077" s="540"/>
      <c r="W1077" s="540"/>
      <c r="X1077" s="540"/>
      <c r="Y1077" s="540"/>
      <c r="Z1077" s="540"/>
    </row>
    <row r="1078" spans="1:26" ht="19">
      <c r="A1078" s="631"/>
      <c r="B1078" s="631"/>
      <c r="C1078" s="631"/>
      <c r="D1078" s="832"/>
      <c r="E1078" s="631"/>
      <c r="F1078" s="631"/>
      <c r="G1078" s="631"/>
      <c r="H1078" s="833"/>
      <c r="I1078" s="834"/>
      <c r="J1078" s="834"/>
      <c r="K1078" s="835"/>
      <c r="L1078" s="835"/>
      <c r="M1078" s="835"/>
      <c r="N1078" s="835"/>
      <c r="O1078" s="835"/>
      <c r="P1078" s="835"/>
      <c r="Q1078" s="540"/>
      <c r="R1078" s="540"/>
      <c r="S1078" s="540"/>
      <c r="T1078" s="540"/>
      <c r="U1078" s="540"/>
      <c r="V1078" s="540"/>
      <c r="W1078" s="540"/>
      <c r="X1078" s="540"/>
      <c r="Y1078" s="540"/>
      <c r="Z1078" s="540"/>
    </row>
    <row r="1079" spans="1:26" ht="19">
      <c r="A1079" s="631"/>
      <c r="B1079" s="631"/>
      <c r="C1079" s="631"/>
      <c r="D1079" s="832"/>
      <c r="E1079" s="631"/>
      <c r="F1079" s="631"/>
      <c r="G1079" s="631"/>
      <c r="H1079" s="833"/>
      <c r="I1079" s="834"/>
      <c r="J1079" s="834"/>
      <c r="K1079" s="835"/>
      <c r="L1079" s="835"/>
      <c r="M1079" s="835"/>
      <c r="N1079" s="835"/>
      <c r="O1079" s="835"/>
      <c r="P1079" s="835"/>
      <c r="Q1079" s="540"/>
      <c r="R1079" s="540"/>
      <c r="S1079" s="540"/>
      <c r="T1079" s="540"/>
      <c r="U1079" s="540"/>
      <c r="V1079" s="540"/>
      <c r="W1079" s="540"/>
      <c r="X1079" s="540"/>
      <c r="Y1079" s="540"/>
      <c r="Z1079" s="540"/>
    </row>
    <row r="1080" spans="1:26" ht="19">
      <c r="A1080" s="631"/>
      <c r="B1080" s="631"/>
      <c r="C1080" s="631"/>
      <c r="D1080" s="832"/>
      <c r="E1080" s="631"/>
      <c r="F1080" s="631"/>
      <c r="G1080" s="631"/>
      <c r="H1080" s="833"/>
      <c r="I1080" s="834"/>
      <c r="J1080" s="834"/>
      <c r="K1080" s="835"/>
      <c r="L1080" s="835"/>
      <c r="M1080" s="835"/>
      <c r="N1080" s="835"/>
      <c r="O1080" s="835"/>
      <c r="P1080" s="835"/>
      <c r="Q1080" s="540"/>
      <c r="R1080" s="540"/>
      <c r="S1080" s="540"/>
      <c r="T1080" s="540"/>
      <c r="U1080" s="540"/>
      <c r="V1080" s="540"/>
      <c r="W1080" s="540"/>
      <c r="X1080" s="540"/>
      <c r="Y1080" s="540"/>
      <c r="Z1080" s="540"/>
    </row>
    <row r="1081" spans="1:26" ht="19">
      <c r="A1081" s="631"/>
      <c r="B1081" s="631"/>
      <c r="C1081" s="631"/>
      <c r="D1081" s="832"/>
      <c r="E1081" s="631"/>
      <c r="F1081" s="631"/>
      <c r="G1081" s="631"/>
      <c r="H1081" s="833"/>
      <c r="I1081" s="834"/>
      <c r="J1081" s="834"/>
      <c r="K1081" s="835"/>
      <c r="L1081" s="835"/>
      <c r="M1081" s="835"/>
      <c r="N1081" s="835"/>
      <c r="O1081" s="835"/>
      <c r="P1081" s="835"/>
      <c r="Q1081" s="540"/>
      <c r="R1081" s="540"/>
      <c r="S1081" s="540"/>
      <c r="T1081" s="540"/>
      <c r="U1081" s="540"/>
      <c r="V1081" s="540"/>
      <c r="W1081" s="540"/>
      <c r="X1081" s="540"/>
      <c r="Y1081" s="540"/>
      <c r="Z1081" s="540"/>
    </row>
    <row r="1082" spans="1:26" ht="19">
      <c r="A1082" s="631"/>
      <c r="B1082" s="631"/>
      <c r="C1082" s="631"/>
      <c r="D1082" s="832"/>
      <c r="E1082" s="631"/>
      <c r="F1082" s="631"/>
      <c r="G1082" s="631"/>
      <c r="H1082" s="833"/>
      <c r="I1082" s="834"/>
      <c r="J1082" s="834"/>
      <c r="K1082" s="835"/>
      <c r="L1082" s="835"/>
      <c r="M1082" s="835"/>
      <c r="N1082" s="835"/>
      <c r="O1082" s="835"/>
      <c r="P1082" s="835"/>
      <c r="Q1082" s="540"/>
      <c r="R1082" s="540"/>
      <c r="S1082" s="540"/>
      <c r="T1082" s="540"/>
      <c r="U1082" s="540"/>
      <c r="V1082" s="540"/>
      <c r="W1082" s="540"/>
      <c r="X1082" s="540"/>
      <c r="Y1082" s="540"/>
      <c r="Z1082" s="540"/>
    </row>
    <row r="1083" spans="1:26" ht="19">
      <c r="A1083" s="631"/>
      <c r="B1083" s="631"/>
      <c r="C1083" s="631"/>
      <c r="D1083" s="832"/>
      <c r="E1083" s="631"/>
      <c r="F1083" s="631"/>
      <c r="G1083" s="631"/>
      <c r="H1083" s="833"/>
      <c r="I1083" s="834"/>
      <c r="J1083" s="834"/>
      <c r="K1083" s="835"/>
      <c r="L1083" s="835"/>
      <c r="M1083" s="835"/>
      <c r="N1083" s="835"/>
      <c r="O1083" s="835"/>
      <c r="P1083" s="835"/>
      <c r="Q1083" s="540"/>
      <c r="R1083" s="540"/>
      <c r="S1083" s="540"/>
      <c r="T1083" s="540"/>
      <c r="U1083" s="540"/>
      <c r="V1083" s="540"/>
      <c r="W1083" s="540"/>
      <c r="X1083" s="540"/>
      <c r="Y1083" s="540"/>
      <c r="Z1083" s="540"/>
    </row>
    <row r="1084" spans="1:26" ht="19">
      <c r="A1084" s="631"/>
      <c r="B1084" s="631"/>
      <c r="C1084" s="631"/>
      <c r="D1084" s="832"/>
      <c r="E1084" s="631"/>
      <c r="F1084" s="631"/>
      <c r="G1084" s="631"/>
      <c r="H1084" s="833"/>
      <c r="I1084" s="834"/>
      <c r="J1084" s="834"/>
      <c r="K1084" s="835"/>
      <c r="L1084" s="835"/>
      <c r="M1084" s="835"/>
      <c r="N1084" s="835"/>
      <c r="O1084" s="835"/>
      <c r="P1084" s="835"/>
      <c r="Q1084" s="540"/>
      <c r="R1084" s="540"/>
      <c r="S1084" s="540"/>
      <c r="T1084" s="540"/>
      <c r="U1084" s="540"/>
      <c r="V1084" s="540"/>
      <c r="W1084" s="540"/>
      <c r="X1084" s="540"/>
      <c r="Y1084" s="540"/>
      <c r="Z1084" s="540"/>
    </row>
    <row r="1085" spans="1:26" ht="19">
      <c r="A1085" s="631"/>
      <c r="B1085" s="631"/>
      <c r="C1085" s="631"/>
      <c r="D1085" s="832"/>
      <c r="E1085" s="631"/>
      <c r="F1085" s="631"/>
      <c r="G1085" s="631"/>
      <c r="H1085" s="833"/>
      <c r="I1085" s="834"/>
      <c r="J1085" s="834"/>
      <c r="K1085" s="835"/>
      <c r="L1085" s="835"/>
      <c r="M1085" s="835"/>
      <c r="N1085" s="835"/>
      <c r="O1085" s="835"/>
      <c r="P1085" s="835"/>
      <c r="Q1085" s="540"/>
      <c r="R1085" s="540"/>
      <c r="S1085" s="540"/>
      <c r="T1085" s="540"/>
      <c r="U1085" s="540"/>
      <c r="V1085" s="540"/>
      <c r="W1085" s="540"/>
      <c r="X1085" s="540"/>
      <c r="Y1085" s="540"/>
      <c r="Z1085" s="540"/>
    </row>
    <row r="1086" spans="1:26" ht="19">
      <c r="A1086" s="631"/>
      <c r="B1086" s="631"/>
      <c r="C1086" s="631"/>
      <c r="D1086" s="832"/>
      <c r="E1086" s="631"/>
      <c r="F1086" s="631"/>
      <c r="G1086" s="631"/>
      <c r="H1086" s="833"/>
      <c r="I1086" s="834"/>
      <c r="J1086" s="834"/>
      <c r="K1086" s="835"/>
      <c r="L1086" s="835"/>
      <c r="M1086" s="835"/>
      <c r="N1086" s="835"/>
      <c r="O1086" s="835"/>
      <c r="P1086" s="835"/>
      <c r="Q1086" s="540"/>
      <c r="R1086" s="540"/>
      <c r="S1086" s="540"/>
      <c r="T1086" s="540"/>
      <c r="U1086" s="540"/>
      <c r="V1086" s="540"/>
      <c r="W1086" s="540"/>
      <c r="X1086" s="540"/>
      <c r="Y1086" s="540"/>
      <c r="Z1086" s="540"/>
    </row>
    <row r="1087" spans="1:26" ht="19">
      <c r="A1087" s="631"/>
      <c r="B1087" s="631"/>
      <c r="C1087" s="631"/>
      <c r="D1087" s="832"/>
      <c r="E1087" s="631"/>
      <c r="F1087" s="631"/>
      <c r="G1087" s="631"/>
      <c r="H1087" s="833"/>
      <c r="I1087" s="834"/>
      <c r="J1087" s="834"/>
      <c r="K1087" s="835"/>
      <c r="L1087" s="835"/>
      <c r="M1087" s="835"/>
      <c r="N1087" s="835"/>
      <c r="O1087" s="835"/>
      <c r="P1087" s="835"/>
      <c r="Q1087" s="540"/>
      <c r="R1087" s="540"/>
      <c r="S1087" s="540"/>
      <c r="T1087" s="540"/>
      <c r="U1087" s="540"/>
      <c r="V1087" s="540"/>
      <c r="W1087" s="540"/>
      <c r="X1087" s="540"/>
      <c r="Y1087" s="540"/>
      <c r="Z1087" s="540"/>
    </row>
    <row r="1088" spans="1:26" ht="19">
      <c r="A1088" s="631"/>
      <c r="B1088" s="631"/>
      <c r="C1088" s="631"/>
      <c r="D1088" s="832"/>
      <c r="E1088" s="631"/>
      <c r="F1088" s="631"/>
      <c r="G1088" s="631"/>
      <c r="H1088" s="833"/>
      <c r="I1088" s="834"/>
      <c r="J1088" s="834"/>
      <c r="K1088" s="835"/>
      <c r="L1088" s="835"/>
      <c r="M1088" s="835"/>
      <c r="N1088" s="835"/>
      <c r="O1088" s="835"/>
      <c r="P1088" s="835"/>
      <c r="Q1088" s="540"/>
      <c r="R1088" s="540"/>
      <c r="S1088" s="540"/>
      <c r="T1088" s="540"/>
      <c r="U1088" s="540"/>
      <c r="V1088" s="540"/>
      <c r="W1088" s="540"/>
      <c r="X1088" s="540"/>
      <c r="Y1088" s="540"/>
      <c r="Z1088" s="540"/>
    </row>
    <row r="1089" spans="1:26" ht="19">
      <c r="A1089" s="631"/>
      <c r="B1089" s="631"/>
      <c r="C1089" s="631"/>
      <c r="D1089" s="832"/>
      <c r="E1089" s="631"/>
      <c r="F1089" s="631"/>
      <c r="G1089" s="631"/>
      <c r="H1089" s="833"/>
      <c r="I1089" s="834"/>
      <c r="J1089" s="834"/>
      <c r="K1089" s="835"/>
      <c r="L1089" s="835"/>
      <c r="M1089" s="835"/>
      <c r="N1089" s="835"/>
      <c r="O1089" s="835"/>
      <c r="P1089" s="835"/>
      <c r="Q1089" s="540"/>
      <c r="R1089" s="540"/>
      <c r="S1089" s="540"/>
      <c r="T1089" s="540"/>
      <c r="U1089" s="540"/>
      <c r="V1089" s="540"/>
      <c r="W1089" s="540"/>
      <c r="X1089" s="540"/>
      <c r="Y1089" s="540"/>
      <c r="Z1089" s="540"/>
    </row>
    <row r="1090" spans="1:26" ht="19">
      <c r="A1090" s="631"/>
      <c r="B1090" s="631"/>
      <c r="C1090" s="631"/>
      <c r="D1090" s="832"/>
      <c r="E1090" s="631"/>
      <c r="F1090" s="631"/>
      <c r="G1090" s="631"/>
      <c r="H1090" s="833"/>
      <c r="I1090" s="834"/>
      <c r="J1090" s="834"/>
      <c r="K1090" s="835"/>
      <c r="L1090" s="835"/>
      <c r="M1090" s="835"/>
      <c r="N1090" s="835"/>
      <c r="O1090" s="835"/>
      <c r="P1090" s="835"/>
      <c r="Q1090" s="540"/>
      <c r="R1090" s="540"/>
      <c r="S1090" s="540"/>
      <c r="T1090" s="540"/>
      <c r="U1090" s="540"/>
      <c r="V1090" s="540"/>
      <c r="W1090" s="540"/>
      <c r="X1090" s="540"/>
      <c r="Y1090" s="540"/>
      <c r="Z1090" s="540"/>
    </row>
    <row r="1091" spans="1:26" ht="19">
      <c r="A1091" s="631"/>
      <c r="B1091" s="631"/>
      <c r="C1091" s="631"/>
      <c r="D1091" s="832"/>
      <c r="E1091" s="631"/>
      <c r="F1091" s="631"/>
      <c r="G1091" s="631"/>
      <c r="H1091" s="833"/>
      <c r="I1091" s="834"/>
      <c r="J1091" s="834"/>
      <c r="K1091" s="835"/>
      <c r="L1091" s="835"/>
      <c r="M1091" s="835"/>
      <c r="N1091" s="835"/>
      <c r="O1091" s="835"/>
      <c r="P1091" s="835"/>
      <c r="Q1091" s="540"/>
      <c r="R1091" s="540"/>
      <c r="S1091" s="540"/>
      <c r="T1091" s="540"/>
      <c r="U1091" s="540"/>
      <c r="V1091" s="540"/>
      <c r="W1091" s="540"/>
      <c r="X1091" s="540"/>
      <c r="Y1091" s="540"/>
      <c r="Z1091" s="540"/>
    </row>
    <row r="1092" spans="1:26" ht="19">
      <c r="A1092" s="631"/>
      <c r="B1092" s="631"/>
      <c r="C1092" s="631"/>
      <c r="D1092" s="832"/>
      <c r="E1092" s="631"/>
      <c r="F1092" s="631"/>
      <c r="G1092" s="631"/>
      <c r="H1092" s="833"/>
      <c r="I1092" s="834"/>
      <c r="J1092" s="834"/>
      <c r="K1092" s="835"/>
      <c r="L1092" s="835"/>
      <c r="M1092" s="835"/>
      <c r="N1092" s="835"/>
      <c r="O1092" s="835"/>
      <c r="P1092" s="835"/>
      <c r="Q1092" s="540"/>
      <c r="R1092" s="540"/>
      <c r="S1092" s="540"/>
      <c r="T1092" s="540"/>
      <c r="U1092" s="540"/>
      <c r="V1092" s="540"/>
      <c r="W1092" s="540"/>
      <c r="X1092" s="540"/>
      <c r="Y1092" s="540"/>
      <c r="Z1092" s="540"/>
    </row>
    <row r="1093" spans="1:26" ht="19">
      <c r="A1093" s="631"/>
      <c r="B1093" s="631"/>
      <c r="C1093" s="631"/>
      <c r="D1093" s="832"/>
      <c r="E1093" s="631"/>
      <c r="F1093" s="631"/>
      <c r="G1093" s="631"/>
      <c r="H1093" s="833"/>
      <c r="I1093" s="834"/>
      <c r="J1093" s="834"/>
      <c r="K1093" s="835"/>
      <c r="L1093" s="835"/>
      <c r="M1093" s="835"/>
      <c r="N1093" s="835"/>
      <c r="O1093" s="835"/>
      <c r="P1093" s="835"/>
      <c r="Q1093" s="540"/>
      <c r="R1093" s="540"/>
      <c r="S1093" s="540"/>
      <c r="T1093" s="540"/>
      <c r="U1093" s="540"/>
      <c r="V1093" s="540"/>
      <c r="W1093" s="540"/>
      <c r="X1093" s="540"/>
      <c r="Y1093" s="540"/>
      <c r="Z1093" s="540"/>
    </row>
    <row r="1094" spans="1:26" ht="19">
      <c r="A1094" s="631"/>
      <c r="B1094" s="631"/>
      <c r="C1094" s="631"/>
      <c r="D1094" s="832"/>
      <c r="E1094" s="631"/>
      <c r="F1094" s="631"/>
      <c r="G1094" s="631"/>
      <c r="H1094" s="833"/>
      <c r="I1094" s="834"/>
      <c r="J1094" s="834"/>
      <c r="K1094" s="835"/>
      <c r="L1094" s="835"/>
      <c r="M1094" s="835"/>
      <c r="N1094" s="835"/>
      <c r="O1094" s="835"/>
      <c r="P1094" s="835"/>
      <c r="Q1094" s="540"/>
      <c r="R1094" s="540"/>
      <c r="S1094" s="540"/>
      <c r="T1094" s="540"/>
      <c r="U1094" s="540"/>
      <c r="V1094" s="540"/>
      <c r="W1094" s="540"/>
      <c r="X1094" s="540"/>
      <c r="Y1094" s="540"/>
      <c r="Z1094" s="540"/>
    </row>
    <row r="1095" spans="1:26" ht="19">
      <c r="A1095" s="631"/>
      <c r="B1095" s="631"/>
      <c r="C1095" s="631"/>
      <c r="D1095" s="832"/>
      <c r="E1095" s="631"/>
      <c r="F1095" s="631"/>
      <c r="G1095" s="631"/>
      <c r="H1095" s="833"/>
      <c r="I1095" s="834"/>
      <c r="J1095" s="834"/>
      <c r="K1095" s="835"/>
      <c r="L1095" s="835"/>
      <c r="M1095" s="835"/>
      <c r="N1095" s="835"/>
      <c r="O1095" s="835"/>
      <c r="P1095" s="835"/>
      <c r="Q1095" s="540"/>
      <c r="R1095" s="540"/>
      <c r="S1095" s="540"/>
      <c r="T1095" s="540"/>
      <c r="U1095" s="540"/>
      <c r="V1095" s="540"/>
      <c r="W1095" s="540"/>
      <c r="X1095" s="540"/>
      <c r="Y1095" s="540"/>
      <c r="Z1095" s="540"/>
    </row>
    <row r="1096" spans="1:26" ht="19">
      <c r="A1096" s="631"/>
      <c r="B1096" s="631"/>
      <c r="C1096" s="631"/>
      <c r="D1096" s="832"/>
      <c r="E1096" s="631"/>
      <c r="F1096" s="631"/>
      <c r="G1096" s="631"/>
      <c r="H1096" s="833"/>
      <c r="I1096" s="834"/>
      <c r="J1096" s="834"/>
      <c r="K1096" s="835"/>
      <c r="L1096" s="835"/>
      <c r="M1096" s="835"/>
      <c r="N1096" s="835"/>
      <c r="O1096" s="835"/>
      <c r="P1096" s="835"/>
      <c r="Q1096" s="540"/>
      <c r="R1096" s="540"/>
      <c r="S1096" s="540"/>
      <c r="T1096" s="540"/>
      <c r="U1096" s="540"/>
      <c r="V1096" s="540"/>
      <c r="W1096" s="540"/>
      <c r="X1096" s="540"/>
      <c r="Y1096" s="540"/>
      <c r="Z1096" s="540"/>
    </row>
    <row r="1097" spans="1:26" ht="19">
      <c r="A1097" s="631"/>
      <c r="B1097" s="631"/>
      <c r="C1097" s="631"/>
      <c r="D1097" s="832"/>
      <c r="E1097" s="631"/>
      <c r="F1097" s="631"/>
      <c r="G1097" s="631"/>
      <c r="H1097" s="833"/>
      <c r="I1097" s="834"/>
      <c r="J1097" s="834"/>
      <c r="K1097" s="835"/>
      <c r="L1097" s="835"/>
      <c r="M1097" s="835"/>
      <c r="N1097" s="835"/>
      <c r="O1097" s="835"/>
      <c r="P1097" s="835"/>
      <c r="Q1097" s="540"/>
      <c r="R1097" s="540"/>
      <c r="S1097" s="540"/>
      <c r="T1097" s="540"/>
      <c r="U1097" s="540"/>
      <c r="V1097" s="540"/>
      <c r="W1097" s="540"/>
      <c r="X1097" s="540"/>
      <c r="Y1097" s="540"/>
      <c r="Z1097" s="540"/>
    </row>
    <row r="1098" spans="1:26" ht="19">
      <c r="A1098" s="631"/>
      <c r="B1098" s="631"/>
      <c r="C1098" s="631"/>
      <c r="D1098" s="832"/>
      <c r="E1098" s="631"/>
      <c r="F1098" s="631"/>
      <c r="G1098" s="631"/>
      <c r="H1098" s="833"/>
      <c r="I1098" s="834"/>
      <c r="J1098" s="834"/>
      <c r="K1098" s="835"/>
      <c r="L1098" s="835"/>
      <c r="M1098" s="835"/>
      <c r="N1098" s="835"/>
      <c r="O1098" s="835"/>
      <c r="P1098" s="835"/>
      <c r="Q1098" s="540"/>
      <c r="R1098" s="540"/>
      <c r="S1098" s="540"/>
      <c r="T1098" s="540"/>
      <c r="U1098" s="540"/>
      <c r="V1098" s="540"/>
      <c r="W1098" s="540"/>
      <c r="X1098" s="540"/>
      <c r="Y1098" s="540"/>
      <c r="Z1098" s="540"/>
    </row>
    <row r="1099" spans="1:26" ht="19">
      <c r="A1099" s="631"/>
      <c r="B1099" s="631"/>
      <c r="C1099" s="631"/>
      <c r="D1099" s="832"/>
      <c r="E1099" s="631"/>
      <c r="F1099" s="631"/>
      <c r="G1099" s="631"/>
      <c r="H1099" s="833"/>
      <c r="I1099" s="834"/>
      <c r="J1099" s="834"/>
      <c r="K1099" s="835"/>
      <c r="L1099" s="835"/>
      <c r="M1099" s="835"/>
      <c r="N1099" s="835"/>
      <c r="O1099" s="835"/>
      <c r="P1099" s="835"/>
      <c r="Q1099" s="540"/>
      <c r="R1099" s="540"/>
      <c r="S1099" s="540"/>
      <c r="T1099" s="540"/>
      <c r="U1099" s="540"/>
      <c r="V1099" s="540"/>
      <c r="W1099" s="540"/>
      <c r="X1099" s="540"/>
      <c r="Y1099" s="540"/>
      <c r="Z1099" s="540"/>
    </row>
    <row r="1100" spans="1:26" ht="19">
      <c r="A1100" s="631"/>
      <c r="B1100" s="631"/>
      <c r="C1100" s="631"/>
      <c r="D1100" s="832"/>
      <c r="E1100" s="631"/>
      <c r="F1100" s="631"/>
      <c r="G1100" s="631"/>
      <c r="H1100" s="833"/>
      <c r="I1100" s="834"/>
      <c r="J1100" s="834"/>
      <c r="K1100" s="835"/>
      <c r="L1100" s="835"/>
      <c r="M1100" s="835"/>
      <c r="N1100" s="835"/>
      <c r="O1100" s="835"/>
      <c r="P1100" s="835"/>
      <c r="Q1100" s="540"/>
      <c r="R1100" s="540"/>
      <c r="S1100" s="540"/>
      <c r="T1100" s="540"/>
      <c r="U1100" s="540"/>
      <c r="V1100" s="540"/>
      <c r="W1100" s="540"/>
      <c r="X1100" s="540"/>
      <c r="Y1100" s="540"/>
      <c r="Z1100" s="540"/>
    </row>
    <row r="1101" spans="1:26" ht="19">
      <c r="A1101" s="631"/>
      <c r="B1101" s="631"/>
      <c r="C1101" s="631"/>
      <c r="D1101" s="832"/>
      <c r="E1101" s="631"/>
      <c r="F1101" s="631"/>
      <c r="G1101" s="631"/>
      <c r="H1101" s="833"/>
      <c r="I1101" s="834"/>
      <c r="J1101" s="834"/>
      <c r="K1101" s="835"/>
      <c r="L1101" s="835"/>
      <c r="M1101" s="835"/>
      <c r="N1101" s="835"/>
      <c r="O1101" s="835"/>
      <c r="P1101" s="835"/>
      <c r="Q1101" s="540"/>
      <c r="R1101" s="540"/>
      <c r="S1101" s="540"/>
      <c r="T1101" s="540"/>
      <c r="U1101" s="540"/>
      <c r="V1101" s="540"/>
      <c r="W1101" s="540"/>
      <c r="X1101" s="540"/>
      <c r="Y1101" s="540"/>
      <c r="Z1101" s="540"/>
    </row>
    <row r="1102" spans="1:26" ht="19">
      <c r="A1102" s="631"/>
      <c r="B1102" s="631"/>
      <c r="C1102" s="631"/>
      <c r="D1102" s="832"/>
      <c r="E1102" s="631"/>
      <c r="F1102" s="631"/>
      <c r="G1102" s="631"/>
      <c r="H1102" s="833"/>
      <c r="I1102" s="834"/>
      <c r="J1102" s="834"/>
      <c r="K1102" s="835"/>
      <c r="L1102" s="835"/>
      <c r="M1102" s="835"/>
      <c r="N1102" s="835"/>
      <c r="O1102" s="835"/>
      <c r="P1102" s="835"/>
      <c r="Q1102" s="540"/>
      <c r="R1102" s="540"/>
      <c r="S1102" s="540"/>
      <c r="T1102" s="540"/>
      <c r="U1102" s="540"/>
      <c r="V1102" s="540"/>
      <c r="W1102" s="540"/>
      <c r="X1102" s="540"/>
      <c r="Y1102" s="540"/>
      <c r="Z1102" s="540"/>
    </row>
    <row r="1103" spans="1:26" ht="19">
      <c r="A1103" s="631"/>
      <c r="B1103" s="631"/>
      <c r="C1103" s="631"/>
      <c r="D1103" s="832"/>
      <c r="E1103" s="631"/>
      <c r="F1103" s="631"/>
      <c r="G1103" s="631"/>
      <c r="H1103" s="833"/>
      <c r="I1103" s="834"/>
      <c r="J1103" s="834"/>
      <c r="K1103" s="835"/>
      <c r="L1103" s="835"/>
      <c r="M1103" s="835"/>
      <c r="N1103" s="835"/>
      <c r="O1103" s="835"/>
      <c r="P1103" s="835"/>
      <c r="Q1103" s="540"/>
      <c r="R1103" s="540"/>
      <c r="S1103" s="540"/>
      <c r="T1103" s="540"/>
      <c r="U1103" s="540"/>
      <c r="V1103" s="540"/>
      <c r="W1103" s="540"/>
      <c r="X1103" s="540"/>
      <c r="Y1103" s="540"/>
      <c r="Z1103" s="540"/>
    </row>
    <row r="1104" spans="1:26" ht="19">
      <c r="A1104" s="631"/>
      <c r="B1104" s="631"/>
      <c r="C1104" s="631"/>
      <c r="D1104" s="832"/>
      <c r="E1104" s="631"/>
      <c r="F1104" s="631"/>
      <c r="G1104" s="631"/>
      <c r="H1104" s="833"/>
      <c r="I1104" s="834"/>
      <c r="J1104" s="834"/>
      <c r="K1104" s="835"/>
      <c r="L1104" s="835"/>
      <c r="M1104" s="835"/>
      <c r="N1104" s="835"/>
      <c r="O1104" s="835"/>
      <c r="P1104" s="835"/>
      <c r="Q1104" s="540"/>
      <c r="R1104" s="540"/>
      <c r="S1104" s="540"/>
      <c r="T1104" s="540"/>
      <c r="U1104" s="540"/>
      <c r="V1104" s="540"/>
      <c r="W1104" s="540"/>
      <c r="X1104" s="540"/>
      <c r="Y1104" s="540"/>
      <c r="Z1104" s="540"/>
    </row>
    <row r="1105" spans="1:26" ht="19">
      <c r="A1105" s="631"/>
      <c r="B1105" s="631"/>
      <c r="C1105" s="631"/>
      <c r="D1105" s="832"/>
      <c r="E1105" s="631"/>
      <c r="F1105" s="631"/>
      <c r="G1105" s="631"/>
      <c r="H1105" s="833"/>
      <c r="I1105" s="834"/>
      <c r="J1105" s="834"/>
      <c r="K1105" s="835"/>
      <c r="L1105" s="835"/>
      <c r="M1105" s="835"/>
      <c r="N1105" s="835"/>
      <c r="O1105" s="835"/>
      <c r="P1105" s="835"/>
      <c r="Q1105" s="540"/>
      <c r="R1105" s="540"/>
      <c r="S1105" s="540"/>
      <c r="T1105" s="540"/>
      <c r="U1105" s="540"/>
      <c r="V1105" s="540"/>
      <c r="W1105" s="540"/>
      <c r="X1105" s="540"/>
      <c r="Y1105" s="540"/>
      <c r="Z1105" s="540"/>
    </row>
    <row r="1106" spans="1:26" ht="19">
      <c r="A1106" s="631"/>
      <c r="B1106" s="631"/>
      <c r="C1106" s="631"/>
      <c r="D1106" s="832"/>
      <c r="E1106" s="631"/>
      <c r="F1106" s="631"/>
      <c r="G1106" s="631"/>
      <c r="H1106" s="833"/>
      <c r="I1106" s="834"/>
      <c r="J1106" s="834"/>
      <c r="K1106" s="835"/>
      <c r="L1106" s="835"/>
      <c r="M1106" s="835"/>
      <c r="N1106" s="835"/>
      <c r="O1106" s="835"/>
      <c r="P1106" s="835"/>
      <c r="Q1106" s="540"/>
      <c r="R1106" s="540"/>
      <c r="S1106" s="540"/>
      <c r="T1106" s="540"/>
      <c r="U1106" s="540"/>
      <c r="V1106" s="540"/>
      <c r="W1106" s="540"/>
      <c r="X1106" s="540"/>
      <c r="Y1106" s="540"/>
      <c r="Z1106" s="540"/>
    </row>
    <row r="1107" spans="1:26" ht="19">
      <c r="A1107" s="631"/>
      <c r="B1107" s="631"/>
      <c r="C1107" s="631"/>
      <c r="D1107" s="832"/>
      <c r="E1107" s="631"/>
      <c r="F1107" s="631"/>
      <c r="G1107" s="631"/>
      <c r="H1107" s="833"/>
      <c r="I1107" s="834"/>
      <c r="J1107" s="834"/>
      <c r="K1107" s="835"/>
      <c r="L1107" s="835"/>
      <c r="M1107" s="835"/>
      <c r="N1107" s="835"/>
      <c r="O1107" s="835"/>
      <c r="P1107" s="835"/>
      <c r="Q1107" s="540"/>
      <c r="R1107" s="540"/>
      <c r="S1107" s="540"/>
      <c r="T1107" s="540"/>
      <c r="U1107" s="540"/>
      <c r="V1107" s="540"/>
      <c r="W1107" s="540"/>
      <c r="X1107" s="540"/>
      <c r="Y1107" s="540"/>
      <c r="Z1107" s="540"/>
    </row>
    <row r="1108" spans="1:26" ht="19">
      <c r="A1108" s="631"/>
      <c r="B1108" s="631"/>
      <c r="C1108" s="631"/>
      <c r="D1108" s="832"/>
      <c r="E1108" s="631"/>
      <c r="F1108" s="631"/>
      <c r="G1108" s="631"/>
      <c r="H1108" s="833"/>
      <c r="I1108" s="834"/>
      <c r="J1108" s="834"/>
      <c r="K1108" s="835"/>
      <c r="L1108" s="835"/>
      <c r="M1108" s="835"/>
      <c r="N1108" s="835"/>
      <c r="O1108" s="835"/>
      <c r="P1108" s="835"/>
      <c r="Q1108" s="540"/>
      <c r="R1108" s="540"/>
      <c r="S1108" s="540"/>
      <c r="T1108" s="540"/>
      <c r="U1108" s="540"/>
      <c r="V1108" s="540"/>
      <c r="W1108" s="540"/>
      <c r="X1108" s="540"/>
      <c r="Y1108" s="540"/>
      <c r="Z1108" s="540"/>
    </row>
    <row r="1109" spans="1:26" ht="19">
      <c r="A1109" s="631"/>
      <c r="B1109" s="631"/>
      <c r="C1109" s="631"/>
      <c r="D1109" s="832"/>
      <c r="E1109" s="631"/>
      <c r="F1109" s="631"/>
      <c r="G1109" s="631"/>
      <c r="H1109" s="833"/>
      <c r="I1109" s="834"/>
      <c r="J1109" s="834"/>
      <c r="K1109" s="835"/>
      <c r="L1109" s="835"/>
      <c r="M1109" s="835"/>
      <c r="N1109" s="835"/>
      <c r="O1109" s="835"/>
      <c r="P1109" s="835"/>
      <c r="Q1109" s="540"/>
      <c r="R1109" s="540"/>
      <c r="S1109" s="540"/>
      <c r="T1109" s="540"/>
      <c r="U1109" s="540"/>
      <c r="V1109" s="540"/>
      <c r="W1109" s="540"/>
      <c r="X1109" s="540"/>
      <c r="Y1109" s="540"/>
      <c r="Z1109" s="540"/>
    </row>
    <row r="1110" spans="1:26" ht="19">
      <c r="A1110" s="631"/>
      <c r="B1110" s="631"/>
      <c r="C1110" s="631"/>
      <c r="D1110" s="832"/>
      <c r="E1110" s="631"/>
      <c r="F1110" s="631"/>
      <c r="G1110" s="631"/>
      <c r="H1110" s="833"/>
      <c r="I1110" s="834"/>
      <c r="J1110" s="834"/>
      <c r="K1110" s="835"/>
      <c r="L1110" s="835"/>
      <c r="M1110" s="835"/>
      <c r="N1110" s="835"/>
      <c r="O1110" s="835"/>
      <c r="P1110" s="835"/>
      <c r="Q1110" s="540"/>
      <c r="R1110" s="540"/>
      <c r="S1110" s="540"/>
      <c r="T1110" s="540"/>
      <c r="U1110" s="540"/>
      <c r="V1110" s="540"/>
      <c r="W1110" s="540"/>
      <c r="X1110" s="540"/>
      <c r="Y1110" s="540"/>
      <c r="Z1110" s="540"/>
    </row>
    <row r="1111" spans="1:26" ht="19">
      <c r="A1111" s="631"/>
      <c r="B1111" s="631"/>
      <c r="C1111" s="631"/>
      <c r="D1111" s="832"/>
      <c r="E1111" s="631"/>
      <c r="F1111" s="631"/>
      <c r="G1111" s="631"/>
      <c r="H1111" s="833"/>
      <c r="I1111" s="834"/>
      <c r="J1111" s="834"/>
      <c r="K1111" s="835"/>
      <c r="L1111" s="835"/>
      <c r="M1111" s="835"/>
      <c r="N1111" s="835"/>
      <c r="O1111" s="835"/>
      <c r="P1111" s="835"/>
      <c r="Q1111" s="540"/>
      <c r="R1111" s="540"/>
      <c r="S1111" s="540"/>
      <c r="T1111" s="540"/>
      <c r="U1111" s="540"/>
      <c r="V1111" s="540"/>
      <c r="W1111" s="540"/>
      <c r="X1111" s="540"/>
      <c r="Y1111" s="540"/>
      <c r="Z1111" s="540"/>
    </row>
    <row r="1112" spans="1:26" ht="19">
      <c r="A1112" s="631"/>
      <c r="B1112" s="631"/>
      <c r="C1112" s="631"/>
      <c r="D1112" s="832"/>
      <c r="E1112" s="631"/>
      <c r="F1112" s="631"/>
      <c r="G1112" s="631"/>
      <c r="H1112" s="833"/>
      <c r="I1112" s="834"/>
      <c r="J1112" s="834"/>
      <c r="K1112" s="835"/>
      <c r="L1112" s="835"/>
      <c r="M1112" s="835"/>
      <c r="N1112" s="835"/>
      <c r="O1112" s="835"/>
      <c r="P1112" s="835"/>
      <c r="Q1112" s="540"/>
      <c r="R1112" s="540"/>
      <c r="S1112" s="540"/>
      <c r="T1112" s="540"/>
      <c r="U1112" s="540"/>
      <c r="V1112" s="540"/>
      <c r="W1112" s="540"/>
      <c r="X1112" s="540"/>
      <c r="Y1112" s="540"/>
      <c r="Z1112" s="540"/>
    </row>
    <row r="1113" spans="1:26" ht="19">
      <c r="A1113" s="631"/>
      <c r="B1113" s="631"/>
      <c r="C1113" s="631"/>
      <c r="D1113" s="832"/>
      <c r="E1113" s="631"/>
      <c r="F1113" s="631"/>
      <c r="G1113" s="631"/>
      <c r="H1113" s="833"/>
      <c r="I1113" s="834"/>
      <c r="J1113" s="834"/>
      <c r="K1113" s="835"/>
      <c r="L1113" s="835"/>
      <c r="M1113" s="835"/>
      <c r="N1113" s="835"/>
      <c r="O1113" s="835"/>
      <c r="P1113" s="835"/>
      <c r="Q1113" s="540"/>
      <c r="R1113" s="540"/>
      <c r="S1113" s="540"/>
      <c r="T1113" s="540"/>
      <c r="U1113" s="540"/>
      <c r="V1113" s="540"/>
      <c r="W1113" s="540"/>
      <c r="X1113" s="540"/>
      <c r="Y1113" s="540"/>
      <c r="Z1113" s="540"/>
    </row>
    <row r="1114" spans="1:26" ht="19">
      <c r="A1114" s="631"/>
      <c r="B1114" s="631"/>
      <c r="C1114" s="631"/>
      <c r="D1114" s="832"/>
      <c r="E1114" s="631"/>
      <c r="F1114" s="631"/>
      <c r="G1114" s="631"/>
      <c r="H1114" s="833"/>
      <c r="I1114" s="834"/>
      <c r="J1114" s="834"/>
      <c r="K1114" s="835"/>
      <c r="L1114" s="835"/>
      <c r="M1114" s="835"/>
      <c r="N1114" s="835"/>
      <c r="O1114" s="835"/>
      <c r="P1114" s="835"/>
      <c r="Q1114" s="540"/>
      <c r="R1114" s="540"/>
      <c r="S1114" s="540"/>
      <c r="T1114" s="540"/>
      <c r="U1114" s="540"/>
      <c r="V1114" s="540"/>
      <c r="W1114" s="540"/>
      <c r="X1114" s="540"/>
      <c r="Y1114" s="540"/>
      <c r="Z1114" s="540"/>
    </row>
    <row r="1115" spans="1:26" ht="19">
      <c r="A1115" s="631"/>
      <c r="B1115" s="631"/>
      <c r="C1115" s="631"/>
      <c r="D1115" s="832"/>
      <c r="E1115" s="631"/>
      <c r="F1115" s="631"/>
      <c r="G1115" s="631"/>
      <c r="H1115" s="833"/>
      <c r="I1115" s="834"/>
      <c r="J1115" s="834"/>
      <c r="K1115" s="835"/>
      <c r="L1115" s="835"/>
      <c r="M1115" s="835"/>
      <c r="N1115" s="835"/>
      <c r="O1115" s="835"/>
      <c r="P1115" s="835"/>
      <c r="Q1115" s="540"/>
      <c r="R1115" s="540"/>
      <c r="S1115" s="540"/>
      <c r="T1115" s="540"/>
      <c r="U1115" s="540"/>
      <c r="V1115" s="540"/>
      <c r="W1115" s="540"/>
      <c r="X1115" s="540"/>
      <c r="Y1115" s="540"/>
      <c r="Z1115" s="540"/>
    </row>
    <row r="1116" spans="1:26" ht="19">
      <c r="A1116" s="631"/>
      <c r="B1116" s="631"/>
      <c r="C1116" s="631"/>
      <c r="D1116" s="832"/>
      <c r="E1116" s="631"/>
      <c r="F1116" s="631"/>
      <c r="G1116" s="631"/>
      <c r="H1116" s="833"/>
      <c r="I1116" s="834"/>
      <c r="J1116" s="834"/>
      <c r="K1116" s="835"/>
      <c r="L1116" s="835"/>
      <c r="M1116" s="835"/>
      <c r="N1116" s="835"/>
      <c r="O1116" s="835"/>
      <c r="P1116" s="835"/>
      <c r="Q1116" s="540"/>
      <c r="R1116" s="540"/>
      <c r="S1116" s="540"/>
      <c r="T1116" s="540"/>
      <c r="U1116" s="540"/>
      <c r="V1116" s="540"/>
      <c r="W1116" s="540"/>
      <c r="X1116" s="540"/>
      <c r="Y1116" s="540"/>
      <c r="Z1116" s="540"/>
    </row>
    <row r="1117" spans="1:26" ht="19">
      <c r="A1117" s="631"/>
      <c r="B1117" s="631"/>
      <c r="C1117" s="631"/>
      <c r="D1117" s="832"/>
      <c r="E1117" s="631"/>
      <c r="F1117" s="631"/>
      <c r="G1117" s="631"/>
      <c r="H1117" s="833"/>
      <c r="I1117" s="834"/>
      <c r="J1117" s="834"/>
      <c r="K1117" s="835"/>
      <c r="L1117" s="835"/>
      <c r="M1117" s="835"/>
      <c r="N1117" s="835"/>
      <c r="O1117" s="835"/>
      <c r="P1117" s="835"/>
      <c r="Q1117" s="540"/>
      <c r="R1117" s="540"/>
      <c r="S1117" s="540"/>
      <c r="T1117" s="540"/>
      <c r="U1117" s="540"/>
      <c r="V1117" s="540"/>
      <c r="W1117" s="540"/>
      <c r="X1117" s="540"/>
      <c r="Y1117" s="540"/>
      <c r="Z1117" s="540"/>
    </row>
    <row r="1118" spans="1:26" ht="19">
      <c r="A1118" s="631"/>
      <c r="B1118" s="631"/>
      <c r="C1118" s="631"/>
      <c r="D1118" s="832"/>
      <c r="E1118" s="631"/>
      <c r="F1118" s="631"/>
      <c r="G1118" s="631"/>
      <c r="H1118" s="833"/>
      <c r="I1118" s="834"/>
      <c r="J1118" s="834"/>
      <c r="K1118" s="835"/>
      <c r="L1118" s="835"/>
      <c r="M1118" s="835"/>
      <c r="N1118" s="835"/>
      <c r="O1118" s="835"/>
      <c r="P1118" s="835"/>
      <c r="Q1118" s="540"/>
      <c r="R1118" s="540"/>
      <c r="S1118" s="540"/>
      <c r="T1118" s="540"/>
      <c r="U1118" s="540"/>
      <c r="V1118" s="540"/>
      <c r="W1118" s="540"/>
      <c r="X1118" s="540"/>
      <c r="Y1118" s="540"/>
      <c r="Z1118" s="540"/>
    </row>
    <row r="1119" spans="1:26" ht="19">
      <c r="A1119" s="631"/>
      <c r="B1119" s="631"/>
      <c r="C1119" s="631"/>
      <c r="D1119" s="832"/>
      <c r="E1119" s="631"/>
      <c r="F1119" s="631"/>
      <c r="G1119" s="631"/>
      <c r="H1119" s="833"/>
      <c r="I1119" s="834"/>
      <c r="J1119" s="834"/>
      <c r="K1119" s="835"/>
      <c r="L1119" s="835"/>
      <c r="M1119" s="835"/>
      <c r="N1119" s="835"/>
      <c r="O1119" s="835"/>
      <c r="P1119" s="835"/>
      <c r="Q1119" s="540"/>
      <c r="R1119" s="540"/>
      <c r="S1119" s="540"/>
      <c r="T1119" s="540"/>
      <c r="U1119" s="540"/>
      <c r="V1119" s="540"/>
      <c r="W1119" s="540"/>
      <c r="X1119" s="540"/>
      <c r="Y1119" s="540"/>
      <c r="Z1119" s="540"/>
    </row>
    <row r="1120" spans="1:26" ht="19">
      <c r="A1120" s="631"/>
      <c r="B1120" s="631"/>
      <c r="C1120" s="631"/>
      <c r="D1120" s="832"/>
      <c r="E1120" s="631"/>
      <c r="F1120" s="631"/>
      <c r="G1120" s="631"/>
      <c r="H1120" s="833"/>
      <c r="I1120" s="834"/>
      <c r="J1120" s="834"/>
      <c r="K1120" s="835"/>
      <c r="L1120" s="835"/>
      <c r="M1120" s="835"/>
      <c r="N1120" s="835"/>
      <c r="O1120" s="835"/>
      <c r="P1120" s="835"/>
      <c r="Q1120" s="540"/>
      <c r="R1120" s="540"/>
      <c r="S1120" s="540"/>
      <c r="T1120" s="540"/>
      <c r="U1120" s="540"/>
      <c r="V1120" s="540"/>
      <c r="W1120" s="540"/>
      <c r="X1120" s="540"/>
      <c r="Y1120" s="540"/>
      <c r="Z1120" s="540"/>
    </row>
    <row r="1121" spans="1:26" ht="19">
      <c r="A1121" s="631"/>
      <c r="B1121" s="631"/>
      <c r="C1121" s="631"/>
      <c r="D1121" s="832"/>
      <c r="E1121" s="631"/>
      <c r="F1121" s="631"/>
      <c r="G1121" s="631"/>
      <c r="H1121" s="833"/>
      <c r="I1121" s="834"/>
      <c r="J1121" s="834"/>
      <c r="K1121" s="835"/>
      <c r="L1121" s="835"/>
      <c r="M1121" s="835"/>
      <c r="N1121" s="835"/>
      <c r="O1121" s="835"/>
      <c r="P1121" s="835"/>
      <c r="Q1121" s="540"/>
      <c r="R1121" s="540"/>
      <c r="S1121" s="540"/>
      <c r="T1121" s="540"/>
      <c r="U1121" s="540"/>
      <c r="V1121" s="540"/>
      <c r="W1121" s="540"/>
      <c r="X1121" s="540"/>
      <c r="Y1121" s="540"/>
      <c r="Z1121" s="540"/>
    </row>
    <row r="1122" spans="1:26" ht="19">
      <c r="A1122" s="631"/>
      <c r="B1122" s="631"/>
      <c r="C1122" s="631"/>
      <c r="D1122" s="832"/>
      <c r="E1122" s="631"/>
      <c r="F1122" s="631"/>
      <c r="G1122" s="631"/>
      <c r="H1122" s="833"/>
      <c r="I1122" s="834"/>
      <c r="J1122" s="834"/>
      <c r="K1122" s="835"/>
      <c r="L1122" s="835"/>
      <c r="M1122" s="835"/>
      <c r="N1122" s="835"/>
      <c r="O1122" s="835"/>
      <c r="P1122" s="835"/>
      <c r="Q1122" s="540"/>
      <c r="R1122" s="540"/>
      <c r="S1122" s="540"/>
      <c r="T1122" s="540"/>
      <c r="U1122" s="540"/>
      <c r="V1122" s="540"/>
      <c r="W1122" s="540"/>
      <c r="X1122" s="540"/>
      <c r="Y1122" s="540"/>
      <c r="Z1122" s="540"/>
    </row>
    <row r="1123" spans="1:26" ht="19">
      <c r="A1123" s="631"/>
      <c r="B1123" s="631"/>
      <c r="C1123" s="631"/>
      <c r="D1123" s="832"/>
      <c r="E1123" s="631"/>
      <c r="F1123" s="631"/>
      <c r="G1123" s="631"/>
      <c r="H1123" s="833"/>
      <c r="I1123" s="834"/>
      <c r="J1123" s="834"/>
      <c r="K1123" s="835"/>
      <c r="L1123" s="835"/>
      <c r="M1123" s="835"/>
      <c r="N1123" s="835"/>
      <c r="O1123" s="835"/>
      <c r="P1123" s="835"/>
      <c r="Q1123" s="540"/>
      <c r="R1123" s="540"/>
      <c r="S1123" s="540"/>
      <c r="T1123" s="540"/>
      <c r="U1123" s="540"/>
      <c r="V1123" s="540"/>
      <c r="W1123" s="540"/>
      <c r="X1123" s="540"/>
      <c r="Y1123" s="540"/>
      <c r="Z1123" s="540"/>
    </row>
    <row r="1124" spans="1:26" ht="19">
      <c r="A1124" s="631"/>
      <c r="B1124" s="631"/>
      <c r="C1124" s="631"/>
      <c r="D1124" s="832"/>
      <c r="E1124" s="631"/>
      <c r="F1124" s="631"/>
      <c r="G1124" s="631"/>
      <c r="H1124" s="833"/>
      <c r="I1124" s="834"/>
      <c r="J1124" s="834"/>
      <c r="K1124" s="835"/>
      <c r="L1124" s="835"/>
      <c r="M1124" s="835"/>
      <c r="N1124" s="835"/>
      <c r="O1124" s="835"/>
      <c r="P1124" s="835"/>
      <c r="Q1124" s="540"/>
      <c r="R1124" s="540"/>
      <c r="S1124" s="540"/>
      <c r="T1124" s="540"/>
      <c r="U1124" s="540"/>
      <c r="V1124" s="540"/>
      <c r="W1124" s="540"/>
      <c r="X1124" s="540"/>
      <c r="Y1124" s="540"/>
      <c r="Z1124" s="540"/>
    </row>
    <row r="1125" spans="1:26" ht="19">
      <c r="A1125" s="631"/>
      <c r="B1125" s="631"/>
      <c r="C1125" s="631"/>
      <c r="D1125" s="832"/>
      <c r="E1125" s="631"/>
      <c r="F1125" s="631"/>
      <c r="G1125" s="631"/>
      <c r="H1125" s="833"/>
      <c r="I1125" s="834"/>
      <c r="J1125" s="834"/>
      <c r="K1125" s="835"/>
      <c r="L1125" s="835"/>
      <c r="M1125" s="835"/>
      <c r="N1125" s="835"/>
      <c r="O1125" s="835"/>
      <c r="P1125" s="835"/>
      <c r="Q1125" s="540"/>
      <c r="R1125" s="540"/>
      <c r="S1125" s="540"/>
      <c r="T1125" s="540"/>
      <c r="U1125" s="540"/>
      <c r="V1125" s="540"/>
      <c r="W1125" s="540"/>
      <c r="X1125" s="540"/>
      <c r="Y1125" s="540"/>
      <c r="Z1125" s="540"/>
    </row>
    <row r="1126" spans="1:26" ht="19">
      <c r="A1126" s="631"/>
      <c r="B1126" s="631"/>
      <c r="C1126" s="631"/>
      <c r="D1126" s="832"/>
      <c r="E1126" s="631"/>
      <c r="F1126" s="631"/>
      <c r="G1126" s="631"/>
      <c r="H1126" s="833"/>
      <c r="I1126" s="834"/>
      <c r="J1126" s="834"/>
      <c r="K1126" s="835"/>
      <c r="L1126" s="835"/>
      <c r="M1126" s="835"/>
      <c r="N1126" s="835"/>
      <c r="O1126" s="835"/>
      <c r="P1126" s="835"/>
      <c r="Q1126" s="540"/>
      <c r="R1126" s="540"/>
      <c r="S1126" s="540"/>
      <c r="T1126" s="540"/>
      <c r="U1126" s="540"/>
      <c r="V1126" s="540"/>
      <c r="W1126" s="540"/>
      <c r="X1126" s="540"/>
      <c r="Y1126" s="540"/>
      <c r="Z1126" s="540"/>
    </row>
    <row r="1127" spans="1:26" ht="19">
      <c r="A1127" s="631"/>
      <c r="B1127" s="631"/>
      <c r="C1127" s="631"/>
      <c r="D1127" s="832"/>
      <c r="E1127" s="631"/>
      <c r="F1127" s="631"/>
      <c r="G1127" s="631"/>
      <c r="H1127" s="833"/>
      <c r="I1127" s="834"/>
      <c r="J1127" s="834"/>
      <c r="K1127" s="835"/>
      <c r="L1127" s="835"/>
      <c r="M1127" s="835"/>
      <c r="N1127" s="835"/>
      <c r="O1127" s="835"/>
      <c r="P1127" s="835"/>
      <c r="Q1127" s="540"/>
      <c r="R1127" s="540"/>
      <c r="S1127" s="540"/>
      <c r="T1127" s="540"/>
      <c r="U1127" s="540"/>
      <c r="V1127" s="540"/>
      <c r="W1127" s="540"/>
      <c r="X1127" s="540"/>
      <c r="Y1127" s="540"/>
      <c r="Z1127" s="540"/>
    </row>
    <row r="1128" spans="1:26" ht="19">
      <c r="A1128" s="631"/>
      <c r="B1128" s="631"/>
      <c r="C1128" s="631"/>
      <c r="D1128" s="832"/>
      <c r="E1128" s="631"/>
      <c r="F1128" s="631"/>
      <c r="G1128" s="631"/>
      <c r="H1128" s="833"/>
      <c r="I1128" s="834"/>
      <c r="J1128" s="834"/>
      <c r="K1128" s="835"/>
      <c r="L1128" s="835"/>
      <c r="M1128" s="835"/>
      <c r="N1128" s="835"/>
      <c r="O1128" s="835"/>
      <c r="P1128" s="835"/>
      <c r="Q1128" s="540"/>
      <c r="R1128" s="540"/>
      <c r="S1128" s="540"/>
      <c r="T1128" s="540"/>
      <c r="U1128" s="540"/>
      <c r="V1128" s="540"/>
      <c r="W1128" s="540"/>
      <c r="X1128" s="540"/>
      <c r="Y1128" s="540"/>
      <c r="Z1128" s="540"/>
    </row>
    <row r="1129" spans="1:26" ht="19">
      <c r="A1129" s="631"/>
      <c r="B1129" s="631"/>
      <c r="C1129" s="631"/>
      <c r="D1129" s="832"/>
      <c r="E1129" s="631"/>
      <c r="F1129" s="631"/>
      <c r="G1129" s="631"/>
      <c r="H1129" s="833"/>
      <c r="I1129" s="834"/>
      <c r="J1129" s="834"/>
      <c r="K1129" s="835"/>
      <c r="L1129" s="835"/>
      <c r="M1129" s="835"/>
      <c r="N1129" s="835"/>
      <c r="O1129" s="835"/>
      <c r="P1129" s="835"/>
      <c r="Q1129" s="540"/>
      <c r="R1129" s="540"/>
      <c r="S1129" s="540"/>
      <c r="T1129" s="540"/>
      <c r="U1129" s="540"/>
      <c r="V1129" s="540"/>
      <c r="W1129" s="540"/>
      <c r="X1129" s="540"/>
      <c r="Y1129" s="540"/>
      <c r="Z1129" s="540"/>
    </row>
    <row r="1130" spans="1:26" ht="19">
      <c r="A1130" s="631"/>
      <c r="B1130" s="631"/>
      <c r="C1130" s="631"/>
      <c r="D1130" s="832"/>
      <c r="E1130" s="631"/>
      <c r="F1130" s="631"/>
      <c r="G1130" s="631"/>
      <c r="H1130" s="833"/>
      <c r="I1130" s="834"/>
      <c r="J1130" s="834"/>
      <c r="K1130" s="835"/>
      <c r="L1130" s="835"/>
      <c r="M1130" s="835"/>
      <c r="N1130" s="835"/>
      <c r="O1130" s="835"/>
      <c r="P1130" s="835"/>
      <c r="Q1130" s="540"/>
      <c r="R1130" s="540"/>
      <c r="S1130" s="540"/>
      <c r="T1130" s="540"/>
      <c r="U1130" s="540"/>
      <c r="V1130" s="540"/>
      <c r="W1130" s="540"/>
      <c r="X1130" s="540"/>
      <c r="Y1130" s="540"/>
      <c r="Z1130" s="540"/>
    </row>
    <row r="1131" spans="1:26" ht="19">
      <c r="A1131" s="631"/>
      <c r="B1131" s="631"/>
      <c r="C1131" s="631"/>
      <c r="D1131" s="832"/>
      <c r="E1131" s="631"/>
      <c r="F1131" s="631"/>
      <c r="G1131" s="631"/>
      <c r="H1131" s="833"/>
      <c r="I1131" s="834"/>
      <c r="J1131" s="834"/>
      <c r="K1131" s="835"/>
      <c r="L1131" s="835"/>
      <c r="M1131" s="835"/>
      <c r="N1131" s="835"/>
      <c r="O1131" s="835"/>
      <c r="P1131" s="835"/>
      <c r="Q1131" s="540"/>
      <c r="R1131" s="540"/>
      <c r="S1131" s="540"/>
      <c r="T1131" s="540"/>
      <c r="U1131" s="540"/>
      <c r="V1131" s="540"/>
      <c r="W1131" s="540"/>
      <c r="X1131" s="540"/>
      <c r="Y1131" s="540"/>
      <c r="Z1131" s="540"/>
    </row>
    <row r="1132" spans="1:26" ht="19">
      <c r="A1132" s="631"/>
      <c r="B1132" s="631"/>
      <c r="C1132" s="631"/>
      <c r="D1132" s="832"/>
      <c r="E1132" s="631"/>
      <c r="F1132" s="631"/>
      <c r="G1132" s="631"/>
      <c r="H1132" s="833"/>
      <c r="I1132" s="834"/>
      <c r="J1132" s="834"/>
      <c r="K1132" s="835"/>
      <c r="L1132" s="835"/>
      <c r="M1132" s="835"/>
      <c r="N1132" s="835"/>
      <c r="O1132" s="835"/>
      <c r="P1132" s="835"/>
      <c r="Q1132" s="540"/>
      <c r="R1132" s="540"/>
      <c r="S1132" s="540"/>
      <c r="T1132" s="540"/>
      <c r="U1132" s="540"/>
      <c r="V1132" s="540"/>
      <c r="W1132" s="540"/>
      <c r="X1132" s="540"/>
      <c r="Y1132" s="540"/>
      <c r="Z1132" s="540"/>
    </row>
    <row r="1133" spans="1:26" ht="19">
      <c r="A1133" s="631"/>
      <c r="B1133" s="631"/>
      <c r="C1133" s="631"/>
      <c r="D1133" s="832"/>
      <c r="E1133" s="631"/>
      <c r="F1133" s="631"/>
      <c r="G1133" s="631"/>
      <c r="H1133" s="833"/>
      <c r="I1133" s="834"/>
      <c r="J1133" s="834"/>
      <c r="K1133" s="835"/>
      <c r="L1133" s="835"/>
      <c r="M1133" s="835"/>
      <c r="N1133" s="835"/>
      <c r="O1133" s="835"/>
      <c r="P1133" s="835"/>
      <c r="Q1133" s="540"/>
      <c r="R1133" s="540"/>
      <c r="S1133" s="540"/>
      <c r="T1133" s="540"/>
      <c r="U1133" s="540"/>
      <c r="V1133" s="540"/>
      <c r="W1133" s="540"/>
      <c r="X1133" s="540"/>
      <c r="Y1133" s="540"/>
      <c r="Z1133" s="540"/>
    </row>
    <row r="1134" spans="1:26" ht="19">
      <c r="A1134" s="631"/>
      <c r="B1134" s="631"/>
      <c r="C1134" s="631"/>
      <c r="D1134" s="832"/>
      <c r="E1134" s="631"/>
      <c r="F1134" s="631"/>
      <c r="G1134" s="631"/>
      <c r="H1134" s="833"/>
      <c r="I1134" s="834"/>
      <c r="J1134" s="834"/>
      <c r="K1134" s="835"/>
      <c r="L1134" s="835"/>
      <c r="M1134" s="835"/>
      <c r="N1134" s="835"/>
      <c r="O1134" s="835"/>
      <c r="P1134" s="835"/>
      <c r="Q1134" s="540"/>
      <c r="R1134" s="540"/>
      <c r="S1134" s="540"/>
      <c r="T1134" s="540"/>
      <c r="U1134" s="540"/>
      <c r="V1134" s="540"/>
      <c r="W1134" s="540"/>
      <c r="X1134" s="540"/>
      <c r="Y1134" s="540"/>
      <c r="Z1134" s="540"/>
    </row>
    <row r="1135" spans="1:26" ht="19">
      <c r="A1135" s="631"/>
      <c r="B1135" s="631"/>
      <c r="C1135" s="631"/>
      <c r="D1135" s="832"/>
      <c r="E1135" s="631"/>
      <c r="F1135" s="631"/>
      <c r="G1135" s="631"/>
      <c r="H1135" s="833"/>
      <c r="I1135" s="834"/>
      <c r="J1135" s="834"/>
      <c r="K1135" s="835"/>
      <c r="L1135" s="835"/>
      <c r="M1135" s="835"/>
      <c r="N1135" s="835"/>
      <c r="O1135" s="835"/>
      <c r="P1135" s="835"/>
      <c r="Q1135" s="540"/>
      <c r="R1135" s="540"/>
      <c r="S1135" s="540"/>
      <c r="T1135" s="540"/>
      <c r="U1135" s="540"/>
      <c r="V1135" s="540"/>
      <c r="W1135" s="540"/>
      <c r="X1135" s="540"/>
      <c r="Y1135" s="540"/>
      <c r="Z1135" s="540"/>
    </row>
    <row r="1136" spans="1:26" ht="19">
      <c r="A1136" s="631"/>
      <c r="B1136" s="631"/>
      <c r="C1136" s="631"/>
      <c r="D1136" s="832"/>
      <c r="E1136" s="631"/>
      <c r="F1136" s="631"/>
      <c r="G1136" s="631"/>
      <c r="H1136" s="833"/>
      <c r="I1136" s="834"/>
      <c r="J1136" s="834"/>
      <c r="K1136" s="835"/>
      <c r="L1136" s="835"/>
      <c r="M1136" s="835"/>
      <c r="N1136" s="835"/>
      <c r="O1136" s="835"/>
      <c r="P1136" s="835"/>
      <c r="Q1136" s="540"/>
      <c r="R1136" s="540"/>
      <c r="S1136" s="540"/>
      <c r="T1136" s="540"/>
      <c r="U1136" s="540"/>
      <c r="V1136" s="540"/>
      <c r="W1136" s="540"/>
      <c r="X1136" s="540"/>
      <c r="Y1136" s="540"/>
      <c r="Z1136" s="540"/>
    </row>
    <row r="1137" spans="1:26" ht="19">
      <c r="A1137" s="631"/>
      <c r="B1137" s="631"/>
      <c r="C1137" s="631"/>
      <c r="D1137" s="832"/>
      <c r="E1137" s="631"/>
      <c r="F1137" s="631"/>
      <c r="G1137" s="631"/>
      <c r="H1137" s="833"/>
      <c r="I1137" s="834"/>
      <c r="J1137" s="834"/>
      <c r="K1137" s="835"/>
      <c r="L1137" s="835"/>
      <c r="M1137" s="835"/>
      <c r="N1137" s="835"/>
      <c r="O1137" s="835"/>
      <c r="P1137" s="835"/>
      <c r="Q1137" s="540"/>
      <c r="R1137" s="540"/>
      <c r="S1137" s="540"/>
      <c r="T1137" s="540"/>
      <c r="U1137" s="540"/>
      <c r="V1137" s="540"/>
      <c r="W1137" s="540"/>
      <c r="X1137" s="540"/>
      <c r="Y1137" s="540"/>
      <c r="Z1137" s="540"/>
    </row>
    <row r="1138" spans="1:26" ht="19">
      <c r="A1138" s="631"/>
      <c r="B1138" s="631"/>
      <c r="C1138" s="631"/>
      <c r="D1138" s="832"/>
      <c r="E1138" s="631"/>
      <c r="F1138" s="631"/>
      <c r="G1138" s="631"/>
      <c r="H1138" s="833"/>
      <c r="I1138" s="834"/>
      <c r="J1138" s="834"/>
      <c r="K1138" s="835"/>
      <c r="L1138" s="835"/>
      <c r="M1138" s="835"/>
      <c r="N1138" s="835"/>
      <c r="O1138" s="835"/>
      <c r="P1138" s="835"/>
      <c r="Q1138" s="540"/>
      <c r="R1138" s="540"/>
      <c r="S1138" s="540"/>
      <c r="T1138" s="540"/>
      <c r="U1138" s="540"/>
      <c r="V1138" s="540"/>
      <c r="W1138" s="540"/>
      <c r="X1138" s="540"/>
      <c r="Y1138" s="540"/>
      <c r="Z1138" s="540"/>
    </row>
    <row r="1139" spans="1:26" ht="19">
      <c r="A1139" s="631"/>
      <c r="B1139" s="631"/>
      <c r="C1139" s="631"/>
      <c r="D1139" s="832"/>
      <c r="E1139" s="631"/>
      <c r="F1139" s="631"/>
      <c r="G1139" s="631"/>
      <c r="H1139" s="833"/>
      <c r="I1139" s="834"/>
      <c r="J1139" s="834"/>
      <c r="K1139" s="835"/>
      <c r="L1139" s="835"/>
      <c r="M1139" s="835"/>
      <c r="N1139" s="835"/>
      <c r="O1139" s="835"/>
      <c r="P1139" s="835"/>
      <c r="Q1139" s="540"/>
      <c r="R1139" s="540"/>
      <c r="S1139" s="540"/>
      <c r="T1139" s="540"/>
      <c r="U1139" s="540"/>
      <c r="V1139" s="540"/>
      <c r="W1139" s="540"/>
      <c r="X1139" s="540"/>
      <c r="Y1139" s="540"/>
      <c r="Z1139" s="540"/>
    </row>
    <row r="1140" spans="1:26" ht="19">
      <c r="A1140" s="631"/>
      <c r="B1140" s="631"/>
      <c r="C1140" s="631"/>
      <c r="D1140" s="832"/>
      <c r="E1140" s="631"/>
      <c r="F1140" s="631"/>
      <c r="G1140" s="631"/>
      <c r="H1140" s="833"/>
      <c r="I1140" s="834"/>
      <c r="J1140" s="834"/>
      <c r="K1140" s="835"/>
      <c r="L1140" s="835"/>
      <c r="M1140" s="835"/>
      <c r="N1140" s="835"/>
      <c r="O1140" s="835"/>
      <c r="P1140" s="835"/>
      <c r="Q1140" s="540"/>
      <c r="R1140" s="540"/>
      <c r="S1140" s="540"/>
      <c r="T1140" s="540"/>
      <c r="U1140" s="540"/>
      <c r="V1140" s="540"/>
      <c r="W1140" s="540"/>
      <c r="X1140" s="540"/>
      <c r="Y1140" s="540"/>
      <c r="Z1140" s="540"/>
    </row>
    <row r="1141" spans="1:26" ht="19">
      <c r="A1141" s="631"/>
      <c r="B1141" s="631"/>
      <c r="C1141" s="631"/>
      <c r="D1141" s="832"/>
      <c r="E1141" s="631"/>
      <c r="F1141" s="631"/>
      <c r="G1141" s="631"/>
      <c r="H1141" s="833"/>
      <c r="I1141" s="834"/>
      <c r="J1141" s="834"/>
      <c r="K1141" s="835"/>
      <c r="L1141" s="835"/>
      <c r="M1141" s="835"/>
      <c r="N1141" s="835"/>
      <c r="O1141" s="835"/>
      <c r="P1141" s="835"/>
      <c r="Q1141" s="540"/>
      <c r="R1141" s="540"/>
      <c r="S1141" s="540"/>
      <c r="T1141" s="540"/>
      <c r="U1141" s="540"/>
      <c r="V1141" s="540"/>
      <c r="W1141" s="540"/>
      <c r="X1141" s="540"/>
      <c r="Y1141" s="540"/>
      <c r="Z1141" s="540"/>
    </row>
    <row r="1142" spans="1:26" ht="19">
      <c r="A1142" s="631"/>
      <c r="B1142" s="631"/>
      <c r="C1142" s="631"/>
      <c r="D1142" s="832"/>
      <c r="E1142" s="631"/>
      <c r="F1142" s="631"/>
      <c r="G1142" s="631"/>
      <c r="H1142" s="833"/>
      <c r="I1142" s="834"/>
      <c r="J1142" s="834"/>
      <c r="K1142" s="835"/>
      <c r="L1142" s="835"/>
      <c r="M1142" s="835"/>
      <c r="N1142" s="835"/>
      <c r="O1142" s="835"/>
      <c r="P1142" s="835"/>
      <c r="Q1142" s="540"/>
      <c r="R1142" s="540"/>
      <c r="S1142" s="540"/>
      <c r="T1142" s="540"/>
      <c r="U1142" s="540"/>
      <c r="V1142" s="540"/>
      <c r="W1142" s="540"/>
      <c r="X1142" s="540"/>
      <c r="Y1142" s="540"/>
      <c r="Z1142" s="540"/>
    </row>
    <row r="1143" spans="1:26" ht="19">
      <c r="A1143" s="631"/>
      <c r="B1143" s="631"/>
      <c r="C1143" s="631"/>
      <c r="D1143" s="832"/>
      <c r="E1143" s="631"/>
      <c r="F1143" s="631"/>
      <c r="G1143" s="631"/>
      <c r="H1143" s="833"/>
      <c r="I1143" s="834"/>
      <c r="J1143" s="834"/>
      <c r="K1143" s="835"/>
      <c r="L1143" s="835"/>
      <c r="M1143" s="835"/>
      <c r="N1143" s="835"/>
      <c r="O1143" s="835"/>
      <c r="P1143" s="835"/>
      <c r="Q1143" s="540"/>
      <c r="R1143" s="540"/>
      <c r="S1143" s="540"/>
      <c r="T1143" s="540"/>
      <c r="U1143" s="540"/>
      <c r="V1143" s="540"/>
      <c r="W1143" s="540"/>
      <c r="X1143" s="540"/>
      <c r="Y1143" s="540"/>
      <c r="Z1143" s="540"/>
    </row>
    <row r="1144" spans="1:26" ht="19">
      <c r="A1144" s="631"/>
      <c r="B1144" s="631"/>
      <c r="C1144" s="631"/>
      <c r="D1144" s="832"/>
      <c r="E1144" s="631"/>
      <c r="F1144" s="631"/>
      <c r="G1144" s="631"/>
      <c r="H1144" s="833"/>
      <c r="I1144" s="834"/>
      <c r="J1144" s="834"/>
      <c r="K1144" s="835"/>
      <c r="L1144" s="835"/>
      <c r="M1144" s="835"/>
      <c r="N1144" s="835"/>
      <c r="O1144" s="835"/>
      <c r="P1144" s="835"/>
      <c r="Q1144" s="540"/>
      <c r="R1144" s="540"/>
      <c r="S1144" s="540"/>
      <c r="T1144" s="540"/>
      <c r="U1144" s="540"/>
      <c r="V1144" s="540"/>
      <c r="W1144" s="540"/>
      <c r="X1144" s="540"/>
      <c r="Y1144" s="540"/>
      <c r="Z1144" s="540"/>
    </row>
    <row r="1145" spans="1:26" ht="19">
      <c r="A1145" s="631"/>
      <c r="B1145" s="631"/>
      <c r="C1145" s="631"/>
      <c r="D1145" s="832"/>
      <c r="E1145" s="631"/>
      <c r="F1145" s="631"/>
      <c r="G1145" s="631"/>
      <c r="H1145" s="833"/>
      <c r="I1145" s="834"/>
      <c r="J1145" s="834"/>
      <c r="K1145" s="835"/>
      <c r="L1145" s="835"/>
      <c r="M1145" s="835"/>
      <c r="N1145" s="835"/>
      <c r="O1145" s="835"/>
      <c r="P1145" s="835"/>
      <c r="Q1145" s="540"/>
      <c r="R1145" s="540"/>
      <c r="S1145" s="540"/>
      <c r="T1145" s="540"/>
      <c r="U1145" s="540"/>
      <c r="V1145" s="540"/>
      <c r="W1145" s="540"/>
      <c r="X1145" s="540"/>
      <c r="Y1145" s="540"/>
      <c r="Z1145" s="540"/>
    </row>
    <row r="1146" spans="1:26" ht="19">
      <c r="A1146" s="631"/>
      <c r="B1146" s="631"/>
      <c r="C1146" s="631"/>
      <c r="D1146" s="832"/>
      <c r="E1146" s="631"/>
      <c r="F1146" s="631"/>
      <c r="G1146" s="631"/>
      <c r="H1146" s="833"/>
      <c r="I1146" s="834"/>
      <c r="J1146" s="834"/>
      <c r="K1146" s="835"/>
      <c r="L1146" s="835"/>
      <c r="M1146" s="835"/>
      <c r="N1146" s="835"/>
      <c r="O1146" s="835"/>
      <c r="P1146" s="835"/>
      <c r="Q1146" s="540"/>
      <c r="R1146" s="540"/>
      <c r="S1146" s="540"/>
      <c r="T1146" s="540"/>
      <c r="U1146" s="540"/>
      <c r="V1146" s="540"/>
      <c r="W1146" s="540"/>
      <c r="X1146" s="540"/>
      <c r="Y1146" s="540"/>
      <c r="Z1146" s="540"/>
    </row>
    <row r="1147" spans="1:26" ht="19">
      <c r="A1147" s="631"/>
      <c r="B1147" s="631"/>
      <c r="C1147" s="631"/>
      <c r="D1147" s="832"/>
      <c r="E1147" s="631"/>
      <c r="F1147" s="631"/>
      <c r="G1147" s="631"/>
      <c r="H1147" s="833"/>
      <c r="I1147" s="834"/>
      <c r="J1147" s="834"/>
      <c r="K1147" s="835"/>
      <c r="L1147" s="835"/>
      <c r="M1147" s="835"/>
      <c r="N1147" s="835"/>
      <c r="O1147" s="835"/>
      <c r="P1147" s="835"/>
      <c r="Q1147" s="540"/>
      <c r="R1147" s="540"/>
      <c r="S1147" s="540"/>
      <c r="T1147" s="540"/>
      <c r="U1147" s="540"/>
      <c r="V1147" s="540"/>
      <c r="W1147" s="540"/>
      <c r="X1147" s="540"/>
      <c r="Y1147" s="540"/>
      <c r="Z1147" s="540"/>
    </row>
    <row r="1148" spans="1:26" ht="19">
      <c r="A1148" s="631"/>
      <c r="B1148" s="631"/>
      <c r="C1148" s="631"/>
      <c r="D1148" s="832"/>
      <c r="E1148" s="631"/>
      <c r="F1148" s="631"/>
      <c r="G1148" s="631"/>
      <c r="H1148" s="833"/>
      <c r="I1148" s="834"/>
      <c r="J1148" s="834"/>
      <c r="K1148" s="835"/>
      <c r="L1148" s="835"/>
      <c r="M1148" s="835"/>
      <c r="N1148" s="835"/>
      <c r="O1148" s="835"/>
      <c r="P1148" s="835"/>
      <c r="Q1148" s="540"/>
      <c r="R1148" s="540"/>
      <c r="S1148" s="540"/>
      <c r="T1148" s="540"/>
      <c r="U1148" s="540"/>
      <c r="V1148" s="540"/>
      <c r="W1148" s="540"/>
      <c r="X1148" s="540"/>
      <c r="Y1148" s="540"/>
      <c r="Z1148" s="540"/>
    </row>
    <row r="1149" spans="1:26" ht="19">
      <c r="A1149" s="631"/>
      <c r="B1149" s="631"/>
      <c r="C1149" s="631"/>
      <c r="D1149" s="832"/>
      <c r="E1149" s="631"/>
      <c r="F1149" s="631"/>
      <c r="G1149" s="631"/>
      <c r="H1149" s="833"/>
      <c r="I1149" s="834"/>
      <c r="J1149" s="834"/>
      <c r="K1149" s="835"/>
      <c r="L1149" s="835"/>
      <c r="M1149" s="835"/>
      <c r="N1149" s="835"/>
      <c r="O1149" s="835"/>
      <c r="P1149" s="835"/>
      <c r="Q1149" s="540"/>
      <c r="R1149" s="540"/>
      <c r="S1149" s="540"/>
      <c r="T1149" s="540"/>
      <c r="U1149" s="540"/>
      <c r="V1149" s="540"/>
      <c r="W1149" s="540"/>
      <c r="X1149" s="540"/>
      <c r="Y1149" s="540"/>
      <c r="Z1149" s="540"/>
    </row>
    <row r="1150" spans="1:26" ht="19">
      <c r="A1150" s="631"/>
      <c r="B1150" s="631"/>
      <c r="C1150" s="631"/>
      <c r="D1150" s="832"/>
      <c r="E1150" s="631"/>
      <c r="F1150" s="631"/>
      <c r="G1150" s="631"/>
      <c r="H1150" s="833"/>
      <c r="I1150" s="834"/>
      <c r="J1150" s="834"/>
      <c r="K1150" s="835"/>
      <c r="L1150" s="835"/>
      <c r="M1150" s="835"/>
      <c r="N1150" s="835"/>
      <c r="O1150" s="835"/>
      <c r="P1150" s="835"/>
      <c r="Q1150" s="540"/>
      <c r="R1150" s="540"/>
      <c r="S1150" s="540"/>
      <c r="T1150" s="540"/>
      <c r="U1150" s="540"/>
      <c r="V1150" s="540"/>
      <c r="W1150" s="540"/>
      <c r="X1150" s="540"/>
      <c r="Y1150" s="540"/>
      <c r="Z1150" s="540"/>
    </row>
    <row r="1151" spans="1:26" ht="19">
      <c r="A1151" s="631"/>
      <c r="B1151" s="631"/>
      <c r="C1151" s="631"/>
      <c r="D1151" s="832"/>
      <c r="E1151" s="631"/>
      <c r="F1151" s="631"/>
      <c r="G1151" s="631"/>
      <c r="H1151" s="833"/>
      <c r="I1151" s="834"/>
      <c r="J1151" s="834"/>
      <c r="K1151" s="835"/>
      <c r="L1151" s="835"/>
      <c r="M1151" s="835"/>
      <c r="N1151" s="835"/>
      <c r="O1151" s="835"/>
      <c r="P1151" s="835"/>
      <c r="Q1151" s="540"/>
      <c r="R1151" s="540"/>
      <c r="S1151" s="540"/>
      <c r="T1151" s="540"/>
      <c r="U1151" s="540"/>
      <c r="V1151" s="540"/>
      <c r="W1151" s="540"/>
      <c r="X1151" s="540"/>
      <c r="Y1151" s="540"/>
      <c r="Z1151" s="540"/>
    </row>
    <row r="1152" spans="1:26" ht="19">
      <c r="A1152" s="631"/>
      <c r="B1152" s="631"/>
      <c r="C1152" s="631"/>
      <c r="D1152" s="832"/>
      <c r="E1152" s="631"/>
      <c r="F1152" s="631"/>
      <c r="G1152" s="631"/>
      <c r="H1152" s="833"/>
      <c r="I1152" s="834"/>
      <c r="J1152" s="834"/>
      <c r="K1152" s="835"/>
      <c r="L1152" s="835"/>
      <c r="M1152" s="835"/>
      <c r="N1152" s="835"/>
      <c r="O1152" s="835"/>
      <c r="P1152" s="835"/>
      <c r="Q1152" s="540"/>
      <c r="R1152" s="540"/>
      <c r="S1152" s="540"/>
      <c r="T1152" s="540"/>
      <c r="U1152" s="540"/>
      <c r="V1152" s="540"/>
      <c r="W1152" s="540"/>
      <c r="X1152" s="540"/>
      <c r="Y1152" s="540"/>
      <c r="Z1152" s="540"/>
    </row>
    <row r="1153" spans="1:26" ht="19">
      <c r="A1153" s="631"/>
      <c r="B1153" s="631"/>
      <c r="C1153" s="631"/>
      <c r="D1153" s="832"/>
      <c r="E1153" s="631"/>
      <c r="F1153" s="631"/>
      <c r="G1153" s="631"/>
      <c r="H1153" s="833"/>
      <c r="I1153" s="834"/>
      <c r="J1153" s="834"/>
      <c r="K1153" s="835"/>
      <c r="L1153" s="835"/>
      <c r="M1153" s="835"/>
      <c r="N1153" s="835"/>
      <c r="O1153" s="835"/>
      <c r="P1153" s="835"/>
      <c r="Q1153" s="540"/>
      <c r="R1153" s="540"/>
      <c r="S1153" s="540"/>
      <c r="T1153" s="540"/>
      <c r="U1153" s="540"/>
      <c r="V1153" s="540"/>
      <c r="W1153" s="540"/>
      <c r="X1153" s="540"/>
      <c r="Y1153" s="540"/>
      <c r="Z1153" s="540"/>
    </row>
    <row r="1154" spans="1:26" ht="19">
      <c r="A1154" s="631"/>
      <c r="B1154" s="631"/>
      <c r="C1154" s="631"/>
      <c r="D1154" s="832"/>
      <c r="E1154" s="631"/>
      <c r="F1154" s="631"/>
      <c r="G1154" s="631"/>
      <c r="H1154" s="833"/>
      <c r="I1154" s="834"/>
      <c r="J1154" s="834"/>
      <c r="K1154" s="835"/>
      <c r="L1154" s="835"/>
      <c r="M1154" s="835"/>
      <c r="N1154" s="835"/>
      <c r="O1154" s="835"/>
      <c r="P1154" s="835"/>
      <c r="Q1154" s="540"/>
      <c r="R1154" s="540"/>
      <c r="S1154" s="540"/>
      <c r="T1154" s="540"/>
      <c r="U1154" s="540"/>
      <c r="V1154" s="540"/>
      <c r="W1154" s="540"/>
      <c r="X1154" s="540"/>
      <c r="Y1154" s="540"/>
      <c r="Z1154" s="540"/>
    </row>
    <row r="1155" spans="1:26" ht="19">
      <c r="A1155" s="631"/>
      <c r="B1155" s="631"/>
      <c r="C1155" s="631"/>
      <c r="D1155" s="832"/>
      <c r="E1155" s="631"/>
      <c r="F1155" s="631"/>
      <c r="G1155" s="631"/>
      <c r="H1155" s="833"/>
      <c r="I1155" s="834"/>
      <c r="J1155" s="834"/>
      <c r="K1155" s="835"/>
      <c r="L1155" s="835"/>
      <c r="M1155" s="835"/>
      <c r="N1155" s="835"/>
      <c r="O1155" s="835"/>
      <c r="P1155" s="835"/>
      <c r="Q1155" s="540"/>
      <c r="R1155" s="540"/>
      <c r="S1155" s="540"/>
      <c r="T1155" s="540"/>
      <c r="U1155" s="540"/>
      <c r="V1155" s="540"/>
      <c r="W1155" s="540"/>
      <c r="X1155" s="540"/>
      <c r="Y1155" s="540"/>
      <c r="Z1155" s="540"/>
    </row>
    <row r="1156" spans="1:26" ht="19">
      <c r="A1156" s="631"/>
      <c r="B1156" s="631"/>
      <c r="C1156" s="631"/>
      <c r="D1156" s="832"/>
      <c r="E1156" s="631"/>
      <c r="F1156" s="631"/>
      <c r="G1156" s="631"/>
      <c r="H1156" s="833"/>
      <c r="I1156" s="834"/>
      <c r="J1156" s="834"/>
      <c r="K1156" s="835"/>
      <c r="L1156" s="835"/>
      <c r="M1156" s="835"/>
      <c r="N1156" s="835"/>
      <c r="O1156" s="835"/>
      <c r="P1156" s="835"/>
      <c r="Q1156" s="540"/>
      <c r="R1156" s="540"/>
      <c r="S1156" s="540"/>
      <c r="T1156" s="540"/>
      <c r="U1156" s="540"/>
      <c r="V1156" s="540"/>
      <c r="W1156" s="540"/>
      <c r="X1156" s="540"/>
      <c r="Y1156" s="540"/>
      <c r="Z1156" s="540"/>
    </row>
    <row r="1157" spans="1:26" ht="19">
      <c r="A1157" s="631"/>
      <c r="B1157" s="631"/>
      <c r="C1157" s="631"/>
      <c r="D1157" s="832"/>
      <c r="E1157" s="631"/>
      <c r="F1157" s="631"/>
      <c r="G1157" s="631"/>
      <c r="H1157" s="833"/>
      <c r="I1157" s="834"/>
      <c r="J1157" s="834"/>
      <c r="K1157" s="835"/>
      <c r="L1157" s="835"/>
      <c r="M1157" s="835"/>
      <c r="N1157" s="835"/>
      <c r="O1157" s="835"/>
      <c r="P1157" s="835"/>
      <c r="Q1157" s="540"/>
      <c r="R1157" s="540"/>
      <c r="S1157" s="540"/>
      <c r="T1157" s="540"/>
      <c r="U1157" s="540"/>
      <c r="V1157" s="540"/>
      <c r="W1157" s="540"/>
      <c r="X1157" s="540"/>
      <c r="Y1157" s="540"/>
      <c r="Z1157" s="540"/>
    </row>
    <row r="1158" spans="1:26" ht="19">
      <c r="A1158" s="631"/>
      <c r="B1158" s="631"/>
      <c r="C1158" s="631"/>
      <c r="D1158" s="832"/>
      <c r="E1158" s="631"/>
      <c r="F1158" s="631"/>
      <c r="G1158" s="631"/>
      <c r="H1158" s="833"/>
      <c r="I1158" s="834"/>
      <c r="J1158" s="834"/>
      <c r="K1158" s="835"/>
      <c r="L1158" s="835"/>
      <c r="M1158" s="835"/>
      <c r="N1158" s="835"/>
      <c r="O1158" s="835"/>
      <c r="P1158" s="835"/>
      <c r="Q1158" s="540"/>
      <c r="R1158" s="540"/>
      <c r="S1158" s="540"/>
      <c r="T1158" s="540"/>
      <c r="U1158" s="540"/>
      <c r="V1158" s="540"/>
      <c r="W1158" s="540"/>
      <c r="X1158" s="540"/>
      <c r="Y1158" s="540"/>
      <c r="Z1158" s="540"/>
    </row>
    <row r="1159" spans="1:26" ht="19">
      <c r="A1159" s="631"/>
      <c r="B1159" s="631"/>
      <c r="C1159" s="631"/>
      <c r="D1159" s="832"/>
      <c r="E1159" s="631"/>
      <c r="F1159" s="631"/>
      <c r="G1159" s="631"/>
      <c r="H1159" s="833"/>
      <c r="I1159" s="834"/>
      <c r="J1159" s="834"/>
      <c r="K1159" s="835"/>
      <c r="L1159" s="835"/>
      <c r="M1159" s="835"/>
      <c r="N1159" s="835"/>
      <c r="O1159" s="835"/>
      <c r="P1159" s="835"/>
      <c r="Q1159" s="540"/>
      <c r="R1159" s="540"/>
      <c r="S1159" s="540"/>
      <c r="T1159" s="540"/>
      <c r="U1159" s="540"/>
      <c r="V1159" s="540"/>
      <c r="W1159" s="540"/>
      <c r="X1159" s="540"/>
      <c r="Y1159" s="540"/>
      <c r="Z1159" s="540"/>
    </row>
    <row r="1160" spans="1:26" ht="19">
      <c r="A1160" s="631"/>
      <c r="B1160" s="631"/>
      <c r="C1160" s="631"/>
      <c r="D1160" s="832"/>
      <c r="E1160" s="631"/>
      <c r="F1160" s="631"/>
      <c r="G1160" s="631"/>
      <c r="H1160" s="833"/>
      <c r="I1160" s="834"/>
      <c r="J1160" s="834"/>
      <c r="K1160" s="835"/>
      <c r="L1160" s="835"/>
      <c r="M1160" s="835"/>
      <c r="N1160" s="835"/>
      <c r="O1160" s="835"/>
      <c r="P1160" s="835"/>
      <c r="Q1160" s="540"/>
      <c r="R1160" s="540"/>
      <c r="S1160" s="540"/>
      <c r="T1160" s="540"/>
      <c r="U1160" s="540"/>
      <c r="V1160" s="540"/>
      <c r="W1160" s="540"/>
      <c r="X1160" s="540"/>
      <c r="Y1160" s="540"/>
      <c r="Z1160" s="540"/>
    </row>
    <row r="1161" spans="1:26" ht="19">
      <c r="A1161" s="631"/>
      <c r="B1161" s="631"/>
      <c r="C1161" s="631"/>
      <c r="D1161" s="832"/>
      <c r="E1161" s="631"/>
      <c r="F1161" s="631"/>
      <c r="G1161" s="631"/>
      <c r="H1161" s="833"/>
      <c r="I1161" s="834"/>
      <c r="J1161" s="834"/>
      <c r="K1161" s="835"/>
      <c r="L1161" s="835"/>
      <c r="M1161" s="835"/>
      <c r="N1161" s="835"/>
      <c r="O1161" s="835"/>
      <c r="P1161" s="835"/>
      <c r="Q1161" s="540"/>
      <c r="R1161" s="540"/>
      <c r="S1161" s="540"/>
      <c r="T1161" s="540"/>
      <c r="U1161" s="540"/>
      <c r="V1161" s="540"/>
      <c r="W1161" s="540"/>
      <c r="X1161" s="540"/>
      <c r="Y1161" s="540"/>
      <c r="Z1161" s="540"/>
    </row>
    <row r="1162" spans="1:26" ht="19">
      <c r="A1162" s="631"/>
      <c r="B1162" s="631"/>
      <c r="C1162" s="631"/>
      <c r="D1162" s="832"/>
      <c r="E1162" s="631"/>
      <c r="F1162" s="631"/>
      <c r="G1162" s="631"/>
      <c r="H1162" s="833"/>
      <c r="I1162" s="834"/>
      <c r="J1162" s="834"/>
      <c r="K1162" s="835"/>
      <c r="L1162" s="835"/>
      <c r="M1162" s="835"/>
      <c r="N1162" s="835"/>
      <c r="O1162" s="835"/>
      <c r="P1162" s="835"/>
      <c r="Q1162" s="540"/>
      <c r="R1162" s="540"/>
      <c r="S1162" s="540"/>
      <c r="T1162" s="540"/>
      <c r="U1162" s="540"/>
      <c r="V1162" s="540"/>
      <c r="W1162" s="540"/>
      <c r="X1162" s="540"/>
      <c r="Y1162" s="540"/>
      <c r="Z1162" s="540"/>
    </row>
    <row r="1163" spans="1:26" ht="19">
      <c r="A1163" s="631"/>
      <c r="B1163" s="631"/>
      <c r="C1163" s="631"/>
      <c r="D1163" s="832"/>
      <c r="E1163" s="631"/>
      <c r="F1163" s="631"/>
      <c r="G1163" s="631"/>
      <c r="H1163" s="833"/>
      <c r="I1163" s="834"/>
      <c r="J1163" s="834"/>
      <c r="K1163" s="835"/>
      <c r="L1163" s="835"/>
      <c r="M1163" s="835"/>
      <c r="N1163" s="835"/>
      <c r="O1163" s="835"/>
      <c r="P1163" s="835"/>
      <c r="Q1163" s="540"/>
      <c r="R1163" s="540"/>
      <c r="S1163" s="540"/>
      <c r="T1163" s="540"/>
      <c r="U1163" s="540"/>
      <c r="V1163" s="540"/>
      <c r="W1163" s="540"/>
      <c r="X1163" s="540"/>
      <c r="Y1163" s="540"/>
      <c r="Z1163" s="540"/>
    </row>
    <row r="1164" spans="1:26" ht="19">
      <c r="A1164" s="631"/>
      <c r="B1164" s="631"/>
      <c r="C1164" s="631"/>
      <c r="D1164" s="832"/>
      <c r="E1164" s="631"/>
      <c r="F1164" s="631"/>
      <c r="G1164" s="631"/>
      <c r="H1164" s="833"/>
      <c r="I1164" s="834"/>
      <c r="J1164" s="834"/>
      <c r="K1164" s="835"/>
      <c r="L1164" s="835"/>
      <c r="M1164" s="835"/>
      <c r="N1164" s="835"/>
      <c r="O1164" s="835"/>
      <c r="P1164" s="835"/>
      <c r="Q1164" s="540"/>
      <c r="R1164" s="540"/>
      <c r="S1164" s="540"/>
      <c r="T1164" s="540"/>
      <c r="U1164" s="540"/>
      <c r="V1164" s="540"/>
      <c r="W1164" s="540"/>
      <c r="X1164" s="540"/>
      <c r="Y1164" s="540"/>
      <c r="Z1164" s="540"/>
    </row>
    <row r="1165" spans="1:26" ht="19">
      <c r="A1165" s="631"/>
      <c r="B1165" s="631"/>
      <c r="C1165" s="631"/>
      <c r="D1165" s="832"/>
      <c r="E1165" s="631"/>
      <c r="F1165" s="631"/>
      <c r="G1165" s="631"/>
      <c r="H1165" s="833"/>
      <c r="I1165" s="834"/>
      <c r="J1165" s="834"/>
      <c r="K1165" s="835"/>
      <c r="L1165" s="835"/>
      <c r="M1165" s="835"/>
      <c r="N1165" s="835"/>
      <c r="O1165" s="835"/>
      <c r="P1165" s="835"/>
      <c r="Q1165" s="540"/>
      <c r="R1165" s="540"/>
      <c r="S1165" s="540"/>
      <c r="T1165" s="540"/>
      <c r="U1165" s="540"/>
      <c r="V1165" s="540"/>
      <c r="W1165" s="540"/>
      <c r="X1165" s="540"/>
      <c r="Y1165" s="540"/>
      <c r="Z1165" s="540"/>
    </row>
    <row r="1166" spans="1:26" ht="19">
      <c r="A1166" s="631"/>
      <c r="B1166" s="631"/>
      <c r="C1166" s="631"/>
      <c r="D1166" s="832"/>
      <c r="E1166" s="631"/>
      <c r="F1166" s="631"/>
      <c r="G1166" s="631"/>
      <c r="H1166" s="833"/>
      <c r="I1166" s="834"/>
      <c r="J1166" s="834"/>
      <c r="K1166" s="835"/>
      <c r="L1166" s="835"/>
      <c r="M1166" s="835"/>
      <c r="N1166" s="835"/>
      <c r="O1166" s="835"/>
      <c r="P1166" s="835"/>
      <c r="Q1166" s="540"/>
      <c r="R1166" s="540"/>
      <c r="S1166" s="540"/>
      <c r="T1166" s="540"/>
      <c r="U1166" s="540"/>
      <c r="V1166" s="540"/>
      <c r="W1166" s="540"/>
      <c r="X1166" s="540"/>
      <c r="Y1166" s="540"/>
      <c r="Z1166" s="540"/>
    </row>
    <row r="1167" spans="1:26" ht="19">
      <c r="A1167" s="631"/>
      <c r="B1167" s="631"/>
      <c r="C1167" s="631"/>
      <c r="D1167" s="832"/>
      <c r="E1167" s="631"/>
      <c r="F1167" s="631"/>
      <c r="G1167" s="631"/>
      <c r="H1167" s="833"/>
      <c r="I1167" s="834"/>
      <c r="J1167" s="834"/>
      <c r="K1167" s="835"/>
      <c r="L1167" s="835"/>
      <c r="M1167" s="835"/>
      <c r="N1167" s="835"/>
      <c r="O1167" s="835"/>
      <c r="P1167" s="835"/>
      <c r="Q1167" s="540"/>
      <c r="R1167" s="540"/>
      <c r="S1167" s="540"/>
      <c r="T1167" s="540"/>
      <c r="U1167" s="540"/>
      <c r="V1167" s="540"/>
      <c r="W1167" s="540"/>
      <c r="X1167" s="540"/>
      <c r="Y1167" s="540"/>
      <c r="Z1167" s="540"/>
    </row>
    <row r="1168" spans="1:26" ht="19">
      <c r="A1168" s="631"/>
      <c r="B1168" s="631"/>
      <c r="C1168" s="631"/>
      <c r="D1168" s="832"/>
      <c r="E1168" s="631"/>
      <c r="F1168" s="631"/>
      <c r="G1168" s="631"/>
      <c r="H1168" s="833"/>
      <c r="I1168" s="834"/>
      <c r="J1168" s="834"/>
      <c r="K1168" s="835"/>
      <c r="L1168" s="835"/>
      <c r="M1168" s="835"/>
      <c r="N1168" s="835"/>
      <c r="O1168" s="835"/>
      <c r="P1168" s="835"/>
      <c r="Q1168" s="540"/>
      <c r="R1168" s="540"/>
      <c r="S1168" s="540"/>
      <c r="T1168" s="540"/>
      <c r="U1168" s="540"/>
      <c r="V1168" s="540"/>
      <c r="W1168" s="540"/>
      <c r="X1168" s="540"/>
      <c r="Y1168" s="540"/>
      <c r="Z1168" s="540"/>
    </row>
    <row r="1169" spans="1:26" ht="19">
      <c r="A1169" s="631"/>
      <c r="B1169" s="631"/>
      <c r="C1169" s="631"/>
      <c r="D1169" s="832"/>
      <c r="E1169" s="631"/>
      <c r="F1169" s="631"/>
      <c r="G1169" s="631"/>
      <c r="H1169" s="833"/>
      <c r="I1169" s="834"/>
      <c r="J1169" s="834"/>
      <c r="K1169" s="835"/>
      <c r="L1169" s="835"/>
      <c r="M1169" s="835"/>
      <c r="N1169" s="835"/>
      <c r="O1169" s="835"/>
      <c r="P1169" s="835"/>
      <c r="Q1169" s="540"/>
      <c r="R1169" s="540"/>
      <c r="S1169" s="540"/>
      <c r="T1169" s="540"/>
      <c r="U1169" s="540"/>
      <c r="V1169" s="540"/>
      <c r="W1169" s="540"/>
      <c r="X1169" s="540"/>
      <c r="Y1169" s="540"/>
      <c r="Z1169" s="540"/>
    </row>
    <row r="1170" spans="1:26" ht="19">
      <c r="A1170" s="631"/>
      <c r="B1170" s="631"/>
      <c r="C1170" s="631"/>
      <c r="D1170" s="832"/>
      <c r="E1170" s="631"/>
      <c r="F1170" s="631"/>
      <c r="G1170" s="631"/>
      <c r="H1170" s="833"/>
      <c r="I1170" s="834"/>
      <c r="J1170" s="834"/>
      <c r="K1170" s="835"/>
      <c r="L1170" s="835"/>
      <c r="M1170" s="835"/>
      <c r="N1170" s="835"/>
      <c r="O1170" s="835"/>
      <c r="P1170" s="835"/>
      <c r="Q1170" s="540"/>
      <c r="R1170" s="540"/>
      <c r="S1170" s="540"/>
      <c r="T1170" s="540"/>
      <c r="U1170" s="540"/>
      <c r="V1170" s="540"/>
      <c r="W1170" s="540"/>
      <c r="X1170" s="540"/>
      <c r="Y1170" s="540"/>
      <c r="Z1170" s="540"/>
    </row>
    <row r="1171" spans="1:26" ht="19">
      <c r="A1171" s="631"/>
      <c r="B1171" s="631"/>
      <c r="C1171" s="631"/>
      <c r="D1171" s="832"/>
      <c r="E1171" s="631"/>
      <c r="F1171" s="631"/>
      <c r="G1171" s="631"/>
      <c r="H1171" s="833"/>
      <c r="I1171" s="834"/>
      <c r="J1171" s="834"/>
      <c r="K1171" s="835"/>
      <c r="L1171" s="835"/>
      <c r="M1171" s="835"/>
      <c r="N1171" s="835"/>
      <c r="O1171" s="835"/>
      <c r="P1171" s="835"/>
      <c r="Q1171" s="540"/>
      <c r="R1171" s="540"/>
      <c r="S1171" s="540"/>
      <c r="T1171" s="540"/>
      <c r="U1171" s="540"/>
      <c r="V1171" s="540"/>
      <c r="W1171" s="540"/>
      <c r="X1171" s="540"/>
      <c r="Y1171" s="540"/>
      <c r="Z1171" s="540"/>
    </row>
    <row r="1172" spans="1:26" ht="19">
      <c r="A1172" s="631"/>
      <c r="B1172" s="631"/>
      <c r="C1172" s="631"/>
      <c r="D1172" s="832"/>
      <c r="E1172" s="631"/>
      <c r="F1172" s="631"/>
      <c r="G1172" s="631"/>
      <c r="H1172" s="833"/>
      <c r="I1172" s="834"/>
      <c r="J1172" s="834"/>
      <c r="K1172" s="835"/>
      <c r="L1172" s="835"/>
      <c r="M1172" s="835"/>
      <c r="N1172" s="835"/>
      <c r="O1172" s="835"/>
      <c r="P1172" s="835"/>
      <c r="Q1172" s="540"/>
      <c r="R1172" s="540"/>
      <c r="S1172" s="540"/>
      <c r="T1172" s="540"/>
      <c r="U1172" s="540"/>
      <c r="V1172" s="540"/>
      <c r="W1172" s="540"/>
      <c r="X1172" s="540"/>
      <c r="Y1172" s="540"/>
      <c r="Z1172" s="540"/>
    </row>
    <row r="1173" spans="1:26" ht="19">
      <c r="A1173" s="631"/>
      <c r="B1173" s="631"/>
      <c r="C1173" s="631"/>
      <c r="D1173" s="832"/>
      <c r="E1173" s="631"/>
      <c r="F1173" s="631"/>
      <c r="G1173" s="631"/>
      <c r="H1173" s="833"/>
      <c r="I1173" s="834"/>
      <c r="J1173" s="834"/>
      <c r="K1173" s="835"/>
      <c r="L1173" s="835"/>
      <c r="M1173" s="835"/>
      <c r="N1173" s="835"/>
      <c r="O1173" s="835"/>
      <c r="P1173" s="835"/>
      <c r="Q1173" s="540"/>
      <c r="R1173" s="540"/>
      <c r="S1173" s="540"/>
      <c r="T1173" s="540"/>
      <c r="U1173" s="540"/>
      <c r="V1173" s="540"/>
      <c r="W1173" s="540"/>
      <c r="X1173" s="540"/>
      <c r="Y1173" s="540"/>
      <c r="Z1173" s="540"/>
    </row>
    <row r="1174" spans="1:26" ht="19">
      <c r="A1174" s="631"/>
      <c r="B1174" s="631"/>
      <c r="C1174" s="631"/>
      <c r="D1174" s="832"/>
      <c r="E1174" s="631"/>
      <c r="F1174" s="631"/>
      <c r="G1174" s="631"/>
      <c r="H1174" s="833"/>
      <c r="I1174" s="834"/>
      <c r="J1174" s="834"/>
      <c r="K1174" s="835"/>
      <c r="L1174" s="835"/>
      <c r="M1174" s="835"/>
      <c r="N1174" s="835"/>
      <c r="O1174" s="835"/>
      <c r="P1174" s="835"/>
      <c r="Q1174" s="540"/>
      <c r="R1174" s="540"/>
      <c r="S1174" s="540"/>
      <c r="T1174" s="540"/>
      <c r="U1174" s="540"/>
      <c r="V1174" s="540"/>
      <c r="W1174" s="540"/>
      <c r="X1174" s="540"/>
      <c r="Y1174" s="540"/>
      <c r="Z1174" s="540"/>
    </row>
    <row r="1175" spans="1:26" ht="19">
      <c r="A1175" s="631"/>
      <c r="B1175" s="631"/>
      <c r="C1175" s="631"/>
      <c r="D1175" s="832"/>
      <c r="E1175" s="631"/>
      <c r="F1175" s="631"/>
      <c r="G1175" s="631"/>
      <c r="H1175" s="833"/>
      <c r="I1175" s="834"/>
      <c r="J1175" s="834"/>
      <c r="K1175" s="835"/>
      <c r="L1175" s="835"/>
      <c r="M1175" s="835"/>
      <c r="N1175" s="835"/>
      <c r="O1175" s="835"/>
      <c r="P1175" s="835"/>
      <c r="Q1175" s="540"/>
      <c r="R1175" s="540"/>
      <c r="S1175" s="540"/>
      <c r="T1175" s="540"/>
      <c r="U1175" s="540"/>
      <c r="V1175" s="540"/>
      <c r="W1175" s="540"/>
      <c r="X1175" s="540"/>
      <c r="Y1175" s="540"/>
      <c r="Z1175" s="540"/>
    </row>
    <row r="1176" spans="1:26" ht="19">
      <c r="A1176" s="631"/>
      <c r="B1176" s="631"/>
      <c r="C1176" s="631"/>
      <c r="D1176" s="832"/>
      <c r="E1176" s="631"/>
      <c r="F1176" s="631"/>
      <c r="G1176" s="631"/>
      <c r="H1176" s="833"/>
      <c r="I1176" s="834"/>
      <c r="J1176" s="834"/>
      <c r="K1176" s="835"/>
      <c r="L1176" s="835"/>
      <c r="M1176" s="835"/>
      <c r="N1176" s="835"/>
      <c r="O1176" s="835"/>
      <c r="P1176" s="835"/>
      <c r="Q1176" s="540"/>
      <c r="R1176" s="540"/>
      <c r="S1176" s="540"/>
      <c r="T1176" s="540"/>
      <c r="U1176" s="540"/>
      <c r="V1176" s="540"/>
      <c r="W1176" s="540"/>
      <c r="X1176" s="540"/>
      <c r="Y1176" s="540"/>
      <c r="Z1176" s="540"/>
    </row>
    <row r="1177" spans="1:26" ht="19">
      <c r="A1177" s="631"/>
      <c r="B1177" s="631"/>
      <c r="C1177" s="631"/>
      <c r="D1177" s="832"/>
      <c r="E1177" s="631"/>
      <c r="F1177" s="631"/>
      <c r="G1177" s="631"/>
      <c r="H1177" s="833"/>
      <c r="I1177" s="834"/>
      <c r="J1177" s="834"/>
      <c r="K1177" s="835"/>
      <c r="L1177" s="835"/>
      <c r="M1177" s="835"/>
      <c r="N1177" s="835"/>
      <c r="O1177" s="835"/>
      <c r="P1177" s="835"/>
      <c r="Q1177" s="540"/>
      <c r="R1177" s="540"/>
      <c r="S1177" s="540"/>
      <c r="T1177" s="540"/>
      <c r="U1177" s="540"/>
      <c r="V1177" s="540"/>
      <c r="W1177" s="540"/>
      <c r="X1177" s="540"/>
      <c r="Y1177" s="540"/>
      <c r="Z1177" s="540"/>
    </row>
    <row r="1178" spans="1:26" ht="19">
      <c r="A1178" s="631"/>
      <c r="B1178" s="631"/>
      <c r="C1178" s="631"/>
      <c r="D1178" s="832"/>
      <c r="E1178" s="631"/>
      <c r="F1178" s="631"/>
      <c r="G1178" s="631"/>
      <c r="H1178" s="833"/>
      <c r="I1178" s="834"/>
      <c r="J1178" s="834"/>
      <c r="K1178" s="835"/>
      <c r="L1178" s="835"/>
      <c r="M1178" s="835"/>
      <c r="N1178" s="835"/>
      <c r="O1178" s="835"/>
      <c r="P1178" s="835"/>
      <c r="Q1178" s="540"/>
      <c r="R1178" s="540"/>
      <c r="S1178" s="540"/>
      <c r="T1178" s="540"/>
      <c r="U1178" s="540"/>
      <c r="V1178" s="540"/>
      <c r="W1178" s="540"/>
      <c r="X1178" s="540"/>
      <c r="Y1178" s="540"/>
      <c r="Z1178" s="540"/>
    </row>
    <row r="1179" spans="1:26" ht="19">
      <c r="A1179" s="631"/>
      <c r="B1179" s="631"/>
      <c r="C1179" s="631"/>
      <c r="D1179" s="832"/>
      <c r="E1179" s="631"/>
      <c r="F1179" s="631"/>
      <c r="G1179" s="631"/>
      <c r="H1179" s="833"/>
      <c r="I1179" s="834"/>
      <c r="J1179" s="834"/>
      <c r="K1179" s="835"/>
      <c r="L1179" s="835"/>
      <c r="M1179" s="835"/>
      <c r="N1179" s="835"/>
      <c r="O1179" s="835"/>
      <c r="P1179" s="835"/>
      <c r="Q1179" s="540"/>
      <c r="R1179" s="540"/>
      <c r="S1179" s="540"/>
      <c r="T1179" s="540"/>
      <c r="U1179" s="540"/>
      <c r="V1179" s="540"/>
      <c r="W1179" s="540"/>
      <c r="X1179" s="540"/>
      <c r="Y1179" s="540"/>
      <c r="Z1179" s="540"/>
    </row>
    <row r="1180" spans="1:26" ht="19">
      <c r="A1180" s="631"/>
      <c r="B1180" s="631"/>
      <c r="C1180" s="631"/>
      <c r="D1180" s="832"/>
      <c r="E1180" s="631"/>
      <c r="F1180" s="631"/>
      <c r="G1180" s="631"/>
      <c r="H1180" s="833"/>
      <c r="I1180" s="834"/>
      <c r="J1180" s="834"/>
      <c r="K1180" s="835"/>
      <c r="L1180" s="835"/>
      <c r="M1180" s="835"/>
      <c r="N1180" s="835"/>
      <c r="O1180" s="835"/>
      <c r="P1180" s="835"/>
      <c r="Q1180" s="540"/>
      <c r="R1180" s="540"/>
      <c r="S1180" s="540"/>
      <c r="T1180" s="540"/>
      <c r="U1180" s="540"/>
      <c r="V1180" s="540"/>
      <c r="W1180" s="540"/>
      <c r="X1180" s="540"/>
      <c r="Y1180" s="540"/>
      <c r="Z1180" s="540"/>
    </row>
    <row r="1181" spans="1:26" ht="19">
      <c r="A1181" s="631"/>
      <c r="B1181" s="631"/>
      <c r="C1181" s="631"/>
      <c r="D1181" s="832"/>
      <c r="E1181" s="631"/>
      <c r="F1181" s="631"/>
      <c r="G1181" s="631"/>
      <c r="H1181" s="833"/>
      <c r="I1181" s="834"/>
      <c r="J1181" s="834"/>
      <c r="K1181" s="835"/>
      <c r="L1181" s="835"/>
      <c r="M1181" s="835"/>
      <c r="N1181" s="835"/>
      <c r="O1181" s="835"/>
      <c r="P1181" s="835"/>
      <c r="Q1181" s="540"/>
      <c r="R1181" s="540"/>
      <c r="S1181" s="540"/>
      <c r="T1181" s="540"/>
      <c r="U1181" s="540"/>
      <c r="V1181" s="540"/>
      <c r="W1181" s="540"/>
      <c r="X1181" s="540"/>
      <c r="Y1181" s="540"/>
      <c r="Z1181" s="540"/>
    </row>
    <row r="1182" spans="1:26" ht="19">
      <c r="A1182" s="631"/>
      <c r="B1182" s="631"/>
      <c r="C1182" s="631"/>
      <c r="D1182" s="832"/>
      <c r="E1182" s="631"/>
      <c r="F1182" s="631"/>
      <c r="G1182" s="631"/>
      <c r="H1182" s="833"/>
      <c r="I1182" s="834"/>
      <c r="J1182" s="834"/>
      <c r="K1182" s="835"/>
      <c r="L1182" s="835"/>
      <c r="M1182" s="835"/>
      <c r="N1182" s="835"/>
      <c r="O1182" s="835"/>
      <c r="P1182" s="835"/>
      <c r="Q1182" s="540"/>
      <c r="R1182" s="540"/>
      <c r="S1182" s="540"/>
      <c r="T1182" s="540"/>
      <c r="U1182" s="540"/>
      <c r="V1182" s="540"/>
      <c r="W1182" s="540"/>
      <c r="X1182" s="540"/>
      <c r="Y1182" s="540"/>
      <c r="Z1182" s="540"/>
    </row>
    <row r="1183" spans="1:26" ht="19">
      <c r="A1183" s="631"/>
      <c r="B1183" s="631"/>
      <c r="C1183" s="631"/>
      <c r="D1183" s="832"/>
      <c r="E1183" s="631"/>
      <c r="F1183" s="631"/>
      <c r="G1183" s="631"/>
      <c r="H1183" s="833"/>
      <c r="I1183" s="834"/>
      <c r="J1183" s="834"/>
      <c r="K1183" s="835"/>
      <c r="L1183" s="835"/>
      <c r="M1183" s="835"/>
      <c r="N1183" s="835"/>
      <c r="O1183" s="835"/>
      <c r="P1183" s="835"/>
      <c r="Q1183" s="540"/>
      <c r="R1183" s="540"/>
      <c r="S1183" s="540"/>
      <c r="T1183" s="540"/>
      <c r="U1183" s="540"/>
      <c r="V1183" s="540"/>
      <c r="W1183" s="540"/>
      <c r="X1183" s="540"/>
      <c r="Y1183" s="540"/>
      <c r="Z1183" s="540"/>
    </row>
    <row r="1184" spans="1:26" ht="19">
      <c r="A1184" s="631"/>
      <c r="B1184" s="631"/>
      <c r="C1184" s="631"/>
      <c r="D1184" s="832"/>
      <c r="E1184" s="631"/>
      <c r="F1184" s="631"/>
      <c r="G1184" s="631"/>
      <c r="H1184" s="833"/>
      <c r="I1184" s="834"/>
      <c r="J1184" s="834"/>
      <c r="K1184" s="835"/>
      <c r="L1184" s="835"/>
      <c r="M1184" s="835"/>
      <c r="N1184" s="835"/>
      <c r="O1184" s="835"/>
      <c r="P1184" s="835"/>
      <c r="Q1184" s="540"/>
      <c r="R1184" s="540"/>
      <c r="S1184" s="540"/>
      <c r="T1184" s="540"/>
      <c r="U1184" s="540"/>
      <c r="V1184" s="540"/>
      <c r="W1184" s="540"/>
      <c r="X1184" s="540"/>
      <c r="Y1184" s="540"/>
      <c r="Z1184" s="540"/>
    </row>
    <row r="1185" spans="1:26" ht="19">
      <c r="A1185" s="631"/>
      <c r="B1185" s="631"/>
      <c r="C1185" s="631"/>
      <c r="D1185" s="832"/>
      <c r="E1185" s="631"/>
      <c r="F1185" s="631"/>
      <c r="G1185" s="631"/>
      <c r="H1185" s="833"/>
      <c r="I1185" s="834"/>
      <c r="J1185" s="834"/>
      <c r="K1185" s="835"/>
      <c r="L1185" s="835"/>
      <c r="M1185" s="835"/>
      <c r="N1185" s="835"/>
      <c r="O1185" s="835"/>
      <c r="P1185" s="835"/>
      <c r="Q1185" s="540"/>
      <c r="R1185" s="540"/>
      <c r="S1185" s="540"/>
      <c r="T1185" s="540"/>
      <c r="U1185" s="540"/>
      <c r="V1185" s="540"/>
      <c r="W1185" s="540"/>
      <c r="X1185" s="540"/>
      <c r="Y1185" s="540"/>
      <c r="Z1185" s="540"/>
    </row>
    <row r="1186" spans="1:26" ht="19">
      <c r="A1186" s="631"/>
      <c r="B1186" s="631"/>
      <c r="C1186" s="631"/>
      <c r="D1186" s="832"/>
      <c r="E1186" s="631"/>
      <c r="F1186" s="631"/>
      <c r="G1186" s="631"/>
      <c r="H1186" s="833"/>
      <c r="I1186" s="834"/>
      <c r="J1186" s="834"/>
      <c r="K1186" s="835"/>
      <c r="L1186" s="835"/>
      <c r="M1186" s="835"/>
      <c r="N1186" s="835"/>
      <c r="O1186" s="835"/>
      <c r="P1186" s="835"/>
      <c r="Q1186" s="540"/>
      <c r="R1186" s="540"/>
      <c r="S1186" s="540"/>
      <c r="T1186" s="540"/>
      <c r="U1186" s="540"/>
      <c r="V1186" s="540"/>
      <c r="W1186" s="540"/>
      <c r="X1186" s="540"/>
      <c r="Y1186" s="540"/>
      <c r="Z1186" s="540"/>
    </row>
    <row r="1187" spans="1:26" ht="19">
      <c r="A1187" s="631"/>
      <c r="B1187" s="631"/>
      <c r="C1187" s="631"/>
      <c r="D1187" s="832"/>
      <c r="E1187" s="631"/>
      <c r="F1187" s="631"/>
      <c r="G1187" s="631"/>
      <c r="H1187" s="833"/>
      <c r="I1187" s="834"/>
      <c r="J1187" s="834"/>
      <c r="K1187" s="835"/>
      <c r="L1187" s="835"/>
      <c r="M1187" s="835"/>
      <c r="N1187" s="835"/>
      <c r="O1187" s="835"/>
      <c r="P1187" s="835"/>
      <c r="Q1187" s="540"/>
      <c r="R1187" s="540"/>
      <c r="S1187" s="540"/>
      <c r="T1187" s="540"/>
      <c r="U1187" s="540"/>
      <c r="V1187" s="540"/>
      <c r="W1187" s="540"/>
      <c r="X1187" s="540"/>
      <c r="Y1187" s="540"/>
      <c r="Z1187" s="540"/>
    </row>
    <row r="1188" spans="1:26" ht="19">
      <c r="A1188" s="631"/>
      <c r="B1188" s="631"/>
      <c r="C1188" s="631"/>
      <c r="D1188" s="832"/>
      <c r="E1188" s="631"/>
      <c r="F1188" s="631"/>
      <c r="G1188" s="631"/>
      <c r="H1188" s="833"/>
      <c r="I1188" s="834"/>
      <c r="J1188" s="834"/>
      <c r="K1188" s="835"/>
      <c r="L1188" s="835"/>
      <c r="M1188" s="835"/>
      <c r="N1188" s="835"/>
      <c r="O1188" s="835"/>
      <c r="P1188" s="835"/>
      <c r="Q1188" s="540"/>
      <c r="R1188" s="540"/>
      <c r="S1188" s="540"/>
      <c r="T1188" s="540"/>
      <c r="U1188" s="540"/>
      <c r="V1188" s="540"/>
      <c r="W1188" s="540"/>
      <c r="X1188" s="540"/>
      <c r="Y1188" s="540"/>
      <c r="Z1188" s="540"/>
    </row>
    <row r="1189" spans="1:26" ht="19">
      <c r="A1189" s="631"/>
      <c r="B1189" s="631"/>
      <c r="C1189" s="631"/>
      <c r="D1189" s="832"/>
      <c r="E1189" s="631"/>
      <c r="F1189" s="631"/>
      <c r="G1189" s="631"/>
      <c r="H1189" s="833"/>
      <c r="I1189" s="834"/>
      <c r="J1189" s="834"/>
      <c r="K1189" s="835"/>
      <c r="L1189" s="835"/>
      <c r="M1189" s="835"/>
      <c r="N1189" s="835"/>
      <c r="O1189" s="835"/>
      <c r="P1189" s="835"/>
      <c r="Q1189" s="540"/>
      <c r="R1189" s="540"/>
      <c r="S1189" s="540"/>
      <c r="T1189" s="540"/>
      <c r="U1189" s="540"/>
      <c r="V1189" s="540"/>
      <c r="W1189" s="540"/>
      <c r="X1189" s="540"/>
      <c r="Y1189" s="540"/>
      <c r="Z1189" s="540"/>
    </row>
    <row r="1190" spans="1:26" ht="19">
      <c r="A1190" s="631"/>
      <c r="B1190" s="631"/>
      <c r="C1190" s="631"/>
      <c r="D1190" s="832"/>
      <c r="E1190" s="631"/>
      <c r="F1190" s="631"/>
      <c r="G1190" s="631"/>
      <c r="H1190" s="833"/>
      <c r="I1190" s="834"/>
      <c r="J1190" s="834"/>
      <c r="K1190" s="835"/>
      <c r="L1190" s="835"/>
      <c r="M1190" s="835"/>
      <c r="N1190" s="835"/>
      <c r="O1190" s="835"/>
      <c r="P1190" s="835"/>
      <c r="Q1190" s="540"/>
      <c r="R1190" s="540"/>
      <c r="S1190" s="540"/>
      <c r="T1190" s="540"/>
      <c r="U1190" s="540"/>
      <c r="V1190" s="540"/>
      <c r="W1190" s="540"/>
      <c r="X1190" s="540"/>
      <c r="Y1190" s="540"/>
      <c r="Z1190" s="540"/>
    </row>
    <row r="1191" spans="1:26" ht="19">
      <c r="A1191" s="631"/>
      <c r="B1191" s="631"/>
      <c r="C1191" s="631"/>
      <c r="D1191" s="832"/>
      <c r="E1191" s="631"/>
      <c r="F1191" s="631"/>
      <c r="G1191" s="631"/>
      <c r="H1191" s="833"/>
      <c r="I1191" s="834"/>
      <c r="J1191" s="834"/>
      <c r="K1191" s="835"/>
      <c r="L1191" s="835"/>
      <c r="M1191" s="835"/>
      <c r="N1191" s="835"/>
      <c r="O1191" s="835"/>
      <c r="P1191" s="835"/>
      <c r="Q1191" s="540"/>
      <c r="R1191" s="540"/>
      <c r="S1191" s="540"/>
      <c r="T1191" s="540"/>
      <c r="U1191" s="540"/>
      <c r="V1191" s="540"/>
      <c r="W1191" s="540"/>
      <c r="X1191" s="540"/>
      <c r="Y1191" s="540"/>
      <c r="Z1191" s="540"/>
    </row>
    <row r="1192" spans="1:26" ht="19">
      <c r="A1192" s="631"/>
      <c r="B1192" s="631"/>
      <c r="C1192" s="631"/>
      <c r="D1192" s="832"/>
      <c r="E1192" s="631"/>
      <c r="F1192" s="631"/>
      <c r="G1192" s="631"/>
      <c r="H1192" s="833"/>
      <c r="I1192" s="834"/>
      <c r="J1192" s="834"/>
      <c r="K1192" s="835"/>
      <c r="L1192" s="835"/>
      <c r="M1192" s="835"/>
      <c r="N1192" s="835"/>
      <c r="O1192" s="835"/>
      <c r="P1192" s="835"/>
      <c r="Q1192" s="540"/>
      <c r="R1192" s="540"/>
      <c r="S1192" s="540"/>
      <c r="T1192" s="540"/>
      <c r="U1192" s="540"/>
      <c r="V1192" s="540"/>
      <c r="W1192" s="540"/>
      <c r="X1192" s="540"/>
      <c r="Y1192" s="540"/>
      <c r="Z1192" s="540"/>
    </row>
    <row r="1193" spans="1:26" ht="19">
      <c r="A1193" s="631"/>
      <c r="B1193" s="631"/>
      <c r="C1193" s="631"/>
      <c r="D1193" s="832"/>
      <c r="E1193" s="631"/>
      <c r="F1193" s="631"/>
      <c r="G1193" s="631"/>
      <c r="H1193" s="833"/>
      <c r="I1193" s="834"/>
      <c r="J1193" s="834"/>
      <c r="K1193" s="835"/>
      <c r="L1193" s="835"/>
      <c r="M1193" s="835"/>
      <c r="N1193" s="835"/>
      <c r="O1193" s="835"/>
      <c r="P1193" s="835"/>
      <c r="Q1193" s="540"/>
      <c r="R1193" s="540"/>
      <c r="S1193" s="540"/>
      <c r="T1193" s="540"/>
      <c r="U1193" s="540"/>
      <c r="V1193" s="540"/>
      <c r="W1193" s="540"/>
      <c r="X1193" s="540"/>
      <c r="Y1193" s="540"/>
      <c r="Z1193" s="540"/>
    </row>
    <row r="1194" spans="1:26" ht="19">
      <c r="A1194" s="631"/>
      <c r="B1194" s="631"/>
      <c r="C1194" s="631"/>
      <c r="D1194" s="832"/>
      <c r="E1194" s="631"/>
      <c r="F1194" s="631"/>
      <c r="G1194" s="631"/>
      <c r="H1194" s="833"/>
      <c r="I1194" s="834"/>
      <c r="J1194" s="834"/>
      <c r="K1194" s="835"/>
      <c r="L1194" s="835"/>
      <c r="M1194" s="835"/>
      <c r="N1194" s="835"/>
      <c r="O1194" s="835"/>
      <c r="P1194" s="835"/>
      <c r="Q1194" s="540"/>
      <c r="R1194" s="540"/>
      <c r="S1194" s="540"/>
      <c r="T1194" s="540"/>
      <c r="U1194" s="540"/>
      <c r="V1194" s="540"/>
      <c r="W1194" s="540"/>
      <c r="X1194" s="540"/>
      <c r="Y1194" s="540"/>
      <c r="Z1194" s="540"/>
    </row>
    <row r="1195" spans="1:26" ht="19">
      <c r="A1195" s="631"/>
      <c r="B1195" s="631"/>
      <c r="C1195" s="631"/>
      <c r="D1195" s="832"/>
      <c r="E1195" s="631"/>
      <c r="F1195" s="631"/>
      <c r="G1195" s="631"/>
      <c r="H1195" s="833"/>
      <c r="I1195" s="834"/>
      <c r="J1195" s="834"/>
      <c r="K1195" s="835"/>
      <c r="L1195" s="835"/>
      <c r="M1195" s="835"/>
      <c r="N1195" s="835"/>
      <c r="O1195" s="835"/>
      <c r="P1195" s="835"/>
      <c r="Q1195" s="540"/>
      <c r="R1195" s="540"/>
      <c r="S1195" s="540"/>
      <c r="T1195" s="540"/>
      <c r="U1195" s="540"/>
      <c r="V1195" s="540"/>
      <c r="W1195" s="540"/>
      <c r="X1195" s="540"/>
      <c r="Y1195" s="540"/>
      <c r="Z1195" s="540"/>
    </row>
    <row r="1196" spans="1:26" ht="19">
      <c r="A1196" s="631"/>
      <c r="B1196" s="631"/>
      <c r="C1196" s="631"/>
      <c r="D1196" s="832"/>
      <c r="E1196" s="631"/>
      <c r="F1196" s="631"/>
      <c r="G1196" s="631"/>
      <c r="H1196" s="833"/>
      <c r="I1196" s="834"/>
      <c r="J1196" s="834"/>
      <c r="K1196" s="835"/>
      <c r="L1196" s="835"/>
      <c r="M1196" s="835"/>
      <c r="N1196" s="835"/>
      <c r="O1196" s="835"/>
      <c r="P1196" s="835"/>
      <c r="Q1196" s="540"/>
      <c r="R1196" s="540"/>
      <c r="S1196" s="540"/>
      <c r="T1196" s="540"/>
      <c r="U1196" s="540"/>
      <c r="V1196" s="540"/>
      <c r="W1196" s="540"/>
      <c r="X1196" s="540"/>
      <c r="Y1196" s="540"/>
      <c r="Z1196" s="540"/>
    </row>
    <row r="1197" spans="1:26" ht="19">
      <c r="A1197" s="631"/>
      <c r="B1197" s="631"/>
      <c r="C1197" s="631"/>
      <c r="D1197" s="832"/>
      <c r="E1197" s="631"/>
      <c r="F1197" s="631"/>
      <c r="G1197" s="631"/>
      <c r="H1197" s="833"/>
      <c r="I1197" s="834"/>
      <c r="J1197" s="834"/>
      <c r="K1197" s="835"/>
      <c r="L1197" s="835"/>
      <c r="M1197" s="835"/>
      <c r="N1197" s="835"/>
      <c r="O1197" s="835"/>
      <c r="P1197" s="835"/>
      <c r="Q1197" s="540"/>
      <c r="R1197" s="540"/>
      <c r="S1197" s="540"/>
      <c r="T1197" s="540"/>
      <c r="U1197" s="540"/>
      <c r="V1197" s="540"/>
      <c r="W1197" s="540"/>
      <c r="X1197" s="540"/>
      <c r="Y1197" s="540"/>
      <c r="Z1197" s="540"/>
    </row>
    <row r="1198" spans="1:26" ht="19">
      <c r="A1198" s="631"/>
      <c r="B1198" s="631"/>
      <c r="C1198" s="631"/>
      <c r="D1198" s="832"/>
      <c r="E1198" s="631"/>
      <c r="F1198" s="631"/>
      <c r="G1198" s="631"/>
      <c r="H1198" s="833"/>
      <c r="I1198" s="834"/>
      <c r="J1198" s="834"/>
      <c r="K1198" s="835"/>
      <c r="L1198" s="835"/>
      <c r="M1198" s="835"/>
      <c r="N1198" s="835"/>
      <c r="O1198" s="835"/>
      <c r="P1198" s="835"/>
      <c r="Q1198" s="540"/>
      <c r="R1198" s="540"/>
      <c r="S1198" s="540"/>
      <c r="T1198" s="540"/>
      <c r="U1198" s="540"/>
      <c r="V1198" s="540"/>
      <c r="W1198" s="540"/>
      <c r="X1198" s="540"/>
      <c r="Y1198" s="540"/>
      <c r="Z1198" s="540"/>
    </row>
    <row r="1199" spans="1:26" ht="19">
      <c r="A1199" s="631"/>
      <c r="B1199" s="631"/>
      <c r="C1199" s="631"/>
      <c r="D1199" s="832"/>
      <c r="E1199" s="631"/>
      <c r="F1199" s="631"/>
      <c r="G1199" s="631"/>
      <c r="H1199" s="833"/>
      <c r="I1199" s="834"/>
      <c r="J1199" s="834"/>
      <c r="K1199" s="835"/>
      <c r="L1199" s="835"/>
      <c r="M1199" s="835"/>
      <c r="N1199" s="835"/>
      <c r="O1199" s="835"/>
      <c r="P1199" s="835"/>
      <c r="Q1199" s="540"/>
      <c r="R1199" s="540"/>
      <c r="S1199" s="540"/>
      <c r="T1199" s="540"/>
      <c r="U1199" s="540"/>
      <c r="V1199" s="540"/>
      <c r="W1199" s="540"/>
      <c r="X1199" s="540"/>
      <c r="Y1199" s="540"/>
      <c r="Z1199" s="540"/>
    </row>
    <row r="1200" spans="1:26" ht="19">
      <c r="A1200" s="631"/>
      <c r="B1200" s="631"/>
      <c r="C1200" s="631"/>
      <c r="D1200" s="832"/>
      <c r="E1200" s="631"/>
      <c r="F1200" s="631"/>
      <c r="G1200" s="631"/>
      <c r="H1200" s="833"/>
      <c r="I1200" s="834"/>
      <c r="J1200" s="834"/>
      <c r="K1200" s="835"/>
      <c r="L1200" s="835"/>
      <c r="M1200" s="835"/>
      <c r="N1200" s="835"/>
      <c r="O1200" s="835"/>
      <c r="P1200" s="835"/>
      <c r="Q1200" s="540"/>
      <c r="R1200" s="540"/>
      <c r="S1200" s="540"/>
      <c r="T1200" s="540"/>
      <c r="U1200" s="540"/>
      <c r="V1200" s="540"/>
      <c r="W1200" s="540"/>
      <c r="X1200" s="540"/>
      <c r="Y1200" s="540"/>
      <c r="Z1200" s="540"/>
    </row>
    <row r="1201" spans="1:26" ht="19">
      <c r="A1201" s="631"/>
      <c r="B1201" s="631"/>
      <c r="C1201" s="631"/>
      <c r="D1201" s="832"/>
      <c r="E1201" s="631"/>
      <c r="F1201" s="631"/>
      <c r="G1201" s="631"/>
      <c r="H1201" s="833"/>
      <c r="I1201" s="834"/>
      <c r="J1201" s="834"/>
      <c r="K1201" s="835"/>
      <c r="L1201" s="835"/>
      <c r="M1201" s="835"/>
      <c r="N1201" s="835"/>
      <c r="O1201" s="835"/>
      <c r="P1201" s="835"/>
      <c r="Q1201" s="540"/>
      <c r="R1201" s="540"/>
      <c r="S1201" s="540"/>
      <c r="T1201" s="540"/>
      <c r="U1201" s="540"/>
      <c r="V1201" s="540"/>
      <c r="W1201" s="540"/>
      <c r="X1201" s="540"/>
      <c r="Y1201" s="540"/>
      <c r="Z1201" s="540"/>
    </row>
    <row r="1202" spans="1:26" ht="19">
      <c r="A1202" s="631"/>
      <c r="B1202" s="631"/>
      <c r="C1202" s="631"/>
      <c r="D1202" s="832"/>
      <c r="E1202" s="631"/>
      <c r="F1202" s="631"/>
      <c r="G1202" s="631"/>
      <c r="H1202" s="833"/>
      <c r="I1202" s="834"/>
      <c r="J1202" s="834"/>
      <c r="K1202" s="835"/>
      <c r="L1202" s="835"/>
      <c r="M1202" s="835"/>
      <c r="N1202" s="835"/>
      <c r="O1202" s="835"/>
      <c r="P1202" s="835"/>
      <c r="Q1202" s="540"/>
      <c r="R1202" s="540"/>
      <c r="S1202" s="540"/>
      <c r="T1202" s="540"/>
      <c r="U1202" s="540"/>
      <c r="V1202" s="540"/>
      <c r="W1202" s="540"/>
      <c r="X1202" s="540"/>
      <c r="Y1202" s="540"/>
      <c r="Z1202" s="540"/>
    </row>
    <row r="1203" spans="1:26" ht="19">
      <c r="A1203" s="631"/>
      <c r="B1203" s="631"/>
      <c r="C1203" s="631"/>
      <c r="D1203" s="832"/>
      <c r="E1203" s="631"/>
      <c r="F1203" s="631"/>
      <c r="G1203" s="631"/>
      <c r="H1203" s="833"/>
      <c r="I1203" s="834"/>
      <c r="J1203" s="834"/>
      <c r="K1203" s="835"/>
      <c r="L1203" s="835"/>
      <c r="M1203" s="835"/>
      <c r="N1203" s="835"/>
      <c r="O1203" s="835"/>
      <c r="P1203" s="835"/>
      <c r="Q1203" s="540"/>
      <c r="R1203" s="540"/>
      <c r="S1203" s="540"/>
      <c r="T1203" s="540"/>
      <c r="U1203" s="540"/>
      <c r="V1203" s="540"/>
      <c r="W1203" s="540"/>
      <c r="X1203" s="540"/>
      <c r="Y1203" s="540"/>
      <c r="Z1203" s="540"/>
    </row>
    <row r="1204" spans="1:26" ht="19">
      <c r="A1204" s="631"/>
      <c r="B1204" s="631"/>
      <c r="C1204" s="631"/>
      <c r="D1204" s="832"/>
      <c r="E1204" s="631"/>
      <c r="F1204" s="631"/>
      <c r="G1204" s="631"/>
      <c r="H1204" s="833"/>
      <c r="I1204" s="834"/>
      <c r="J1204" s="834"/>
      <c r="K1204" s="835"/>
      <c r="L1204" s="835"/>
      <c r="M1204" s="835"/>
      <c r="N1204" s="835"/>
      <c r="O1204" s="835"/>
      <c r="P1204" s="835"/>
      <c r="Q1204" s="540"/>
      <c r="R1204" s="540"/>
      <c r="S1204" s="540"/>
      <c r="T1204" s="540"/>
      <c r="U1204" s="540"/>
      <c r="V1204" s="540"/>
      <c r="W1204" s="540"/>
      <c r="X1204" s="540"/>
      <c r="Y1204" s="540"/>
      <c r="Z1204" s="540"/>
    </row>
    <row r="1205" spans="1:26" ht="19">
      <c r="A1205" s="631"/>
      <c r="B1205" s="631"/>
      <c r="C1205" s="631"/>
      <c r="D1205" s="832"/>
      <c r="E1205" s="631"/>
      <c r="F1205" s="631"/>
      <c r="G1205" s="631"/>
      <c r="H1205" s="833"/>
      <c r="I1205" s="834"/>
      <c r="J1205" s="834"/>
      <c r="K1205" s="835"/>
      <c r="L1205" s="835"/>
      <c r="M1205" s="835"/>
      <c r="N1205" s="835"/>
      <c r="O1205" s="835"/>
      <c r="P1205" s="835"/>
      <c r="Q1205" s="540"/>
      <c r="R1205" s="540"/>
      <c r="S1205" s="540"/>
      <c r="T1205" s="540"/>
      <c r="U1205" s="540"/>
      <c r="V1205" s="540"/>
      <c r="W1205" s="540"/>
      <c r="X1205" s="540"/>
      <c r="Y1205" s="540"/>
      <c r="Z1205" s="540"/>
    </row>
    <row r="1206" spans="1:26" ht="19">
      <c r="A1206" s="631"/>
      <c r="B1206" s="631"/>
      <c r="C1206" s="631"/>
      <c r="D1206" s="832"/>
      <c r="E1206" s="631"/>
      <c r="F1206" s="631"/>
      <c r="G1206" s="631"/>
      <c r="H1206" s="833"/>
      <c r="I1206" s="834"/>
      <c r="J1206" s="834"/>
      <c r="K1206" s="835"/>
      <c r="L1206" s="835"/>
      <c r="M1206" s="835"/>
      <c r="N1206" s="835"/>
      <c r="O1206" s="835"/>
      <c r="P1206" s="835"/>
      <c r="Q1206" s="540"/>
      <c r="R1206" s="540"/>
      <c r="S1206" s="540"/>
      <c r="T1206" s="540"/>
      <c r="U1206" s="540"/>
      <c r="V1206" s="540"/>
      <c r="W1206" s="540"/>
      <c r="X1206" s="540"/>
      <c r="Y1206" s="540"/>
      <c r="Z1206" s="540"/>
    </row>
    <row r="1207" spans="1:26" ht="19">
      <c r="A1207" s="631"/>
      <c r="B1207" s="631"/>
      <c r="C1207" s="631"/>
      <c r="D1207" s="832"/>
      <c r="E1207" s="631"/>
      <c r="F1207" s="631"/>
      <c r="G1207" s="631"/>
      <c r="H1207" s="833"/>
      <c r="I1207" s="834"/>
      <c r="J1207" s="834"/>
      <c r="K1207" s="835"/>
      <c r="L1207" s="835"/>
      <c r="M1207" s="835"/>
      <c r="N1207" s="835"/>
      <c r="O1207" s="835"/>
      <c r="P1207" s="835"/>
      <c r="Q1207" s="540"/>
      <c r="R1207" s="540"/>
      <c r="S1207" s="540"/>
      <c r="T1207" s="540"/>
      <c r="U1207" s="540"/>
      <c r="V1207" s="540"/>
      <c r="W1207" s="540"/>
      <c r="X1207" s="540"/>
      <c r="Y1207" s="540"/>
      <c r="Z1207" s="540"/>
    </row>
    <row r="1208" spans="1:26" ht="19">
      <c r="A1208" s="631"/>
      <c r="B1208" s="631"/>
      <c r="C1208" s="631"/>
      <c r="D1208" s="832"/>
      <c r="E1208" s="631"/>
      <c r="F1208" s="631"/>
      <c r="G1208" s="631"/>
      <c r="H1208" s="833"/>
      <c r="I1208" s="834"/>
      <c r="J1208" s="834"/>
      <c r="K1208" s="835"/>
      <c r="L1208" s="835"/>
      <c r="M1208" s="835"/>
      <c r="N1208" s="835"/>
      <c r="O1208" s="835"/>
      <c r="P1208" s="835"/>
      <c r="Q1208" s="540"/>
      <c r="R1208" s="540"/>
      <c r="S1208" s="540"/>
      <c r="T1208" s="540"/>
      <c r="U1208" s="540"/>
      <c r="V1208" s="540"/>
      <c r="W1208" s="540"/>
      <c r="X1208" s="540"/>
      <c r="Y1208" s="540"/>
      <c r="Z1208" s="540"/>
    </row>
    <row r="1209" spans="1:26" ht="19">
      <c r="A1209" s="631"/>
      <c r="B1209" s="631"/>
      <c r="C1209" s="631"/>
      <c r="D1209" s="832"/>
      <c r="E1209" s="631"/>
      <c r="F1209" s="631"/>
      <c r="G1209" s="631"/>
      <c r="H1209" s="833"/>
      <c r="I1209" s="834"/>
      <c r="J1209" s="834"/>
      <c r="K1209" s="835"/>
      <c r="L1209" s="835"/>
      <c r="M1209" s="835"/>
      <c r="N1209" s="835"/>
      <c r="O1209" s="835"/>
      <c r="P1209" s="835"/>
      <c r="Q1209" s="540"/>
      <c r="R1209" s="540"/>
      <c r="S1209" s="540"/>
      <c r="T1209" s="540"/>
      <c r="U1209" s="540"/>
      <c r="V1209" s="540"/>
      <c r="W1209" s="540"/>
      <c r="X1209" s="540"/>
      <c r="Y1209" s="540"/>
      <c r="Z1209" s="540"/>
    </row>
    <row r="1210" spans="1:26" ht="19">
      <c r="A1210" s="631"/>
      <c r="B1210" s="631"/>
      <c r="C1210" s="631"/>
      <c r="D1210" s="832"/>
      <c r="E1210" s="631"/>
      <c r="F1210" s="631"/>
      <c r="G1210" s="631"/>
      <c r="H1210" s="833"/>
      <c r="I1210" s="834"/>
      <c r="J1210" s="834"/>
      <c r="K1210" s="835"/>
      <c r="L1210" s="835"/>
      <c r="M1210" s="835"/>
      <c r="N1210" s="835"/>
      <c r="O1210" s="835"/>
      <c r="P1210" s="835"/>
      <c r="Q1210" s="540"/>
      <c r="R1210" s="540"/>
      <c r="S1210" s="540"/>
      <c r="T1210" s="540"/>
      <c r="U1210" s="540"/>
      <c r="V1210" s="540"/>
      <c r="W1210" s="540"/>
      <c r="X1210" s="540"/>
      <c r="Y1210" s="540"/>
      <c r="Z1210" s="540"/>
    </row>
    <row r="1211" spans="1:26" ht="19">
      <c r="A1211" s="631"/>
      <c r="B1211" s="631"/>
      <c r="C1211" s="631"/>
      <c r="D1211" s="832"/>
      <c r="E1211" s="631"/>
      <c r="F1211" s="631"/>
      <c r="G1211" s="631"/>
      <c r="H1211" s="833"/>
      <c r="I1211" s="834"/>
      <c r="J1211" s="834"/>
      <c r="K1211" s="835"/>
      <c r="L1211" s="835"/>
      <c r="M1211" s="835"/>
      <c r="N1211" s="835"/>
      <c r="O1211" s="835"/>
      <c r="P1211" s="835"/>
      <c r="Q1211" s="540"/>
      <c r="R1211" s="540"/>
      <c r="S1211" s="540"/>
      <c r="T1211" s="540"/>
      <c r="U1211" s="540"/>
      <c r="V1211" s="540"/>
      <c r="W1211" s="540"/>
      <c r="X1211" s="540"/>
      <c r="Y1211" s="540"/>
      <c r="Z1211" s="540"/>
    </row>
    <row r="1212" spans="1:26" ht="19">
      <c r="A1212" s="631"/>
      <c r="B1212" s="631"/>
      <c r="C1212" s="631"/>
      <c r="D1212" s="832"/>
      <c r="E1212" s="631"/>
      <c r="F1212" s="631"/>
      <c r="G1212" s="631"/>
      <c r="H1212" s="833"/>
      <c r="I1212" s="834"/>
      <c r="J1212" s="834"/>
      <c r="K1212" s="835"/>
      <c r="L1212" s="835"/>
      <c r="M1212" s="835"/>
      <c r="N1212" s="835"/>
      <c r="O1212" s="835"/>
      <c r="P1212" s="835"/>
      <c r="Q1212" s="540"/>
      <c r="R1212" s="540"/>
      <c r="S1212" s="540"/>
      <c r="T1212" s="540"/>
      <c r="U1212" s="540"/>
      <c r="V1212" s="540"/>
      <c r="W1212" s="540"/>
      <c r="X1212" s="540"/>
      <c r="Y1212" s="540"/>
      <c r="Z1212" s="540"/>
    </row>
    <row r="1213" spans="1:26" ht="19">
      <c r="A1213" s="631"/>
      <c r="B1213" s="631"/>
      <c r="C1213" s="631"/>
      <c r="D1213" s="832"/>
      <c r="E1213" s="631"/>
      <c r="F1213" s="631"/>
      <c r="G1213" s="631"/>
      <c r="H1213" s="833"/>
      <c r="I1213" s="834"/>
      <c r="J1213" s="834"/>
      <c r="K1213" s="835"/>
      <c r="L1213" s="835"/>
      <c r="M1213" s="835"/>
      <c r="N1213" s="835"/>
      <c r="O1213" s="835"/>
      <c r="P1213" s="835"/>
      <c r="Q1213" s="540"/>
      <c r="R1213" s="540"/>
      <c r="S1213" s="540"/>
      <c r="T1213" s="540"/>
      <c r="U1213" s="540"/>
      <c r="V1213" s="540"/>
      <c r="W1213" s="540"/>
      <c r="X1213" s="540"/>
      <c r="Y1213" s="540"/>
      <c r="Z1213" s="540"/>
    </row>
    <row r="1214" spans="1:26" ht="19">
      <c r="A1214" s="631"/>
      <c r="B1214" s="631"/>
      <c r="C1214" s="631"/>
      <c r="D1214" s="832"/>
      <c r="E1214" s="631"/>
      <c r="F1214" s="631"/>
      <c r="G1214" s="631"/>
      <c r="H1214" s="833"/>
      <c r="I1214" s="834"/>
      <c r="J1214" s="834"/>
      <c r="K1214" s="835"/>
      <c r="L1214" s="835"/>
      <c r="M1214" s="835"/>
      <c r="N1214" s="835"/>
      <c r="O1214" s="835"/>
      <c r="P1214" s="835"/>
      <c r="Q1214" s="540"/>
      <c r="R1214" s="540"/>
      <c r="S1214" s="540"/>
      <c r="T1214" s="540"/>
      <c r="U1214" s="540"/>
      <c r="V1214" s="540"/>
      <c r="W1214" s="540"/>
      <c r="X1214" s="540"/>
      <c r="Y1214" s="540"/>
      <c r="Z1214" s="540"/>
    </row>
    <row r="1215" spans="1:26" ht="19">
      <c r="A1215" s="631"/>
      <c r="B1215" s="631"/>
      <c r="C1215" s="631"/>
      <c r="D1215" s="832"/>
      <c r="E1215" s="631"/>
      <c r="F1215" s="631"/>
      <c r="G1215" s="631"/>
      <c r="H1215" s="833"/>
      <c r="I1215" s="834"/>
      <c r="J1215" s="834"/>
      <c r="K1215" s="835"/>
      <c r="L1215" s="835"/>
      <c r="M1215" s="835"/>
      <c r="N1215" s="835"/>
      <c r="O1215" s="835"/>
      <c r="P1215" s="835"/>
      <c r="Q1215" s="540"/>
      <c r="R1215" s="540"/>
      <c r="S1215" s="540"/>
      <c r="T1215" s="540"/>
      <c r="U1215" s="540"/>
      <c r="V1215" s="540"/>
      <c r="W1215" s="540"/>
      <c r="X1215" s="540"/>
      <c r="Y1215" s="540"/>
      <c r="Z1215" s="540"/>
    </row>
    <row r="1216" spans="1:26" ht="19">
      <c r="A1216" s="631"/>
      <c r="B1216" s="631"/>
      <c r="C1216" s="631"/>
      <c r="D1216" s="832"/>
      <c r="E1216" s="631"/>
      <c r="F1216" s="631"/>
      <c r="G1216" s="631"/>
      <c r="H1216" s="833"/>
      <c r="I1216" s="834"/>
      <c r="J1216" s="834"/>
      <c r="K1216" s="835"/>
      <c r="L1216" s="835"/>
      <c r="M1216" s="835"/>
      <c r="N1216" s="835"/>
      <c r="O1216" s="835"/>
      <c r="P1216" s="835"/>
      <c r="Q1216" s="540"/>
      <c r="R1216" s="540"/>
      <c r="S1216" s="540"/>
      <c r="T1216" s="540"/>
      <c r="U1216" s="540"/>
      <c r="V1216" s="540"/>
      <c r="W1216" s="540"/>
      <c r="X1216" s="540"/>
      <c r="Y1216" s="540"/>
      <c r="Z1216" s="540"/>
    </row>
    <row r="1217" spans="1:26" ht="19">
      <c r="A1217" s="631"/>
      <c r="B1217" s="631"/>
      <c r="C1217" s="631"/>
      <c r="D1217" s="832"/>
      <c r="E1217" s="631"/>
      <c r="F1217" s="631"/>
      <c r="G1217" s="631"/>
      <c r="H1217" s="833"/>
      <c r="I1217" s="834"/>
      <c r="J1217" s="834"/>
      <c r="K1217" s="835"/>
      <c r="L1217" s="835"/>
      <c r="M1217" s="835"/>
      <c r="N1217" s="835"/>
      <c r="O1217" s="835"/>
      <c r="P1217" s="835"/>
      <c r="Q1217" s="540"/>
      <c r="R1217" s="540"/>
      <c r="S1217" s="540"/>
      <c r="T1217" s="540"/>
      <c r="U1217" s="540"/>
      <c r="V1217" s="540"/>
      <c r="W1217" s="540"/>
      <c r="X1217" s="540"/>
      <c r="Y1217" s="540"/>
      <c r="Z1217" s="540"/>
    </row>
    <row r="1218" spans="1:26" ht="19">
      <c r="A1218" s="631"/>
      <c r="B1218" s="631"/>
      <c r="C1218" s="631"/>
      <c r="D1218" s="832"/>
      <c r="E1218" s="631"/>
      <c r="F1218" s="631"/>
      <c r="G1218" s="631"/>
      <c r="H1218" s="833"/>
      <c r="I1218" s="834"/>
      <c r="J1218" s="834"/>
      <c r="K1218" s="835"/>
      <c r="L1218" s="835"/>
      <c r="M1218" s="835"/>
      <c r="N1218" s="835"/>
      <c r="O1218" s="835"/>
      <c r="P1218" s="835"/>
      <c r="Q1218" s="540"/>
      <c r="R1218" s="540"/>
      <c r="S1218" s="540"/>
      <c r="T1218" s="540"/>
      <c r="U1218" s="540"/>
      <c r="V1218" s="540"/>
      <c r="W1218" s="540"/>
      <c r="X1218" s="540"/>
      <c r="Y1218" s="540"/>
      <c r="Z1218" s="540"/>
    </row>
    <row r="1219" spans="1:26" ht="19">
      <c r="A1219" s="631"/>
      <c r="B1219" s="631"/>
      <c r="C1219" s="631"/>
      <c r="D1219" s="832"/>
      <c r="E1219" s="631"/>
      <c r="F1219" s="631"/>
      <c r="G1219" s="631"/>
      <c r="H1219" s="833"/>
      <c r="I1219" s="834"/>
      <c r="J1219" s="834"/>
      <c r="K1219" s="835"/>
      <c r="L1219" s="835"/>
      <c r="M1219" s="835"/>
      <c r="N1219" s="835"/>
      <c r="O1219" s="835"/>
      <c r="P1219" s="835"/>
      <c r="Q1219" s="540"/>
      <c r="R1219" s="540"/>
      <c r="S1219" s="540"/>
      <c r="T1219" s="540"/>
      <c r="U1219" s="540"/>
      <c r="V1219" s="540"/>
      <c r="W1219" s="540"/>
      <c r="X1219" s="540"/>
      <c r="Y1219" s="540"/>
      <c r="Z1219" s="540"/>
    </row>
    <row r="1220" spans="1:26" ht="19">
      <c r="A1220" s="631"/>
      <c r="B1220" s="631"/>
      <c r="C1220" s="631"/>
      <c r="D1220" s="832"/>
      <c r="E1220" s="631"/>
      <c r="F1220" s="631"/>
      <c r="G1220" s="631"/>
      <c r="H1220" s="833"/>
      <c r="I1220" s="834"/>
      <c r="J1220" s="834"/>
      <c r="K1220" s="835"/>
      <c r="L1220" s="835"/>
      <c r="M1220" s="835"/>
      <c r="N1220" s="835"/>
      <c r="O1220" s="835"/>
      <c r="P1220" s="835"/>
      <c r="Q1220" s="540"/>
      <c r="R1220" s="540"/>
      <c r="S1220" s="540"/>
      <c r="T1220" s="540"/>
      <c r="U1220" s="540"/>
      <c r="V1220" s="540"/>
      <c r="W1220" s="540"/>
      <c r="X1220" s="540"/>
      <c r="Y1220" s="540"/>
      <c r="Z1220" s="540"/>
    </row>
    <row r="1221" spans="1:26" ht="19">
      <c r="A1221" s="631"/>
      <c r="B1221" s="631"/>
      <c r="C1221" s="631"/>
      <c r="D1221" s="832"/>
      <c r="E1221" s="631"/>
      <c r="F1221" s="631"/>
      <c r="G1221" s="631"/>
      <c r="H1221" s="833"/>
      <c r="I1221" s="834"/>
      <c r="J1221" s="834"/>
      <c r="K1221" s="835"/>
      <c r="L1221" s="835"/>
      <c r="M1221" s="835"/>
      <c r="N1221" s="835"/>
      <c r="O1221" s="835"/>
      <c r="P1221" s="835"/>
      <c r="Q1221" s="540"/>
      <c r="R1221" s="540"/>
      <c r="S1221" s="540"/>
      <c r="T1221" s="540"/>
      <c r="U1221" s="540"/>
      <c r="V1221" s="540"/>
      <c r="W1221" s="540"/>
      <c r="X1221" s="540"/>
      <c r="Y1221" s="540"/>
      <c r="Z1221" s="540"/>
    </row>
    <row r="1222" spans="1:26" ht="19">
      <c r="A1222" s="631"/>
      <c r="B1222" s="631"/>
      <c r="C1222" s="631"/>
      <c r="D1222" s="832"/>
      <c r="E1222" s="631"/>
      <c r="F1222" s="631"/>
      <c r="G1222" s="631"/>
      <c r="H1222" s="833"/>
      <c r="I1222" s="834"/>
      <c r="J1222" s="834"/>
      <c r="K1222" s="835"/>
      <c r="L1222" s="835"/>
      <c r="M1222" s="835"/>
      <c r="N1222" s="835"/>
      <c r="O1222" s="835"/>
      <c r="P1222" s="835"/>
      <c r="Q1222" s="540"/>
      <c r="R1222" s="540"/>
      <c r="S1222" s="540"/>
      <c r="T1222" s="540"/>
      <c r="U1222" s="540"/>
      <c r="V1222" s="540"/>
      <c r="W1222" s="540"/>
      <c r="X1222" s="540"/>
      <c r="Y1222" s="540"/>
      <c r="Z1222" s="540"/>
    </row>
    <row r="1223" spans="1:26" ht="19">
      <c r="A1223" s="631"/>
      <c r="B1223" s="631"/>
      <c r="C1223" s="631"/>
      <c r="D1223" s="832"/>
      <c r="E1223" s="631"/>
      <c r="F1223" s="631"/>
      <c r="G1223" s="631"/>
      <c r="H1223" s="833"/>
      <c r="I1223" s="834"/>
      <c r="J1223" s="834"/>
      <c r="K1223" s="835"/>
      <c r="L1223" s="835"/>
      <c r="M1223" s="835"/>
      <c r="N1223" s="835"/>
      <c r="O1223" s="835"/>
      <c r="P1223" s="835"/>
      <c r="Q1223" s="540"/>
      <c r="R1223" s="540"/>
      <c r="S1223" s="540"/>
      <c r="T1223" s="540"/>
      <c r="U1223" s="540"/>
      <c r="V1223" s="540"/>
      <c r="W1223" s="540"/>
      <c r="X1223" s="540"/>
      <c r="Y1223" s="540"/>
      <c r="Z1223" s="540"/>
    </row>
    <row r="1224" spans="1:26" ht="19">
      <c r="A1224" s="631"/>
      <c r="B1224" s="631"/>
      <c r="C1224" s="631"/>
      <c r="D1224" s="832"/>
      <c r="E1224" s="631"/>
      <c r="F1224" s="631"/>
      <c r="G1224" s="631"/>
      <c r="H1224" s="833"/>
      <c r="I1224" s="834"/>
      <c r="J1224" s="834"/>
      <c r="K1224" s="835"/>
      <c r="L1224" s="835"/>
      <c r="M1224" s="835"/>
      <c r="N1224" s="835"/>
      <c r="O1224" s="835"/>
      <c r="P1224" s="835"/>
      <c r="Q1224" s="540"/>
      <c r="R1224" s="540"/>
      <c r="S1224" s="540"/>
      <c r="T1224" s="540"/>
      <c r="U1224" s="540"/>
      <c r="V1224" s="540"/>
      <c r="W1224" s="540"/>
      <c r="X1224" s="540"/>
      <c r="Y1224" s="540"/>
      <c r="Z1224" s="540"/>
    </row>
    <row r="1225" spans="1:26" ht="19">
      <c r="A1225" s="631"/>
      <c r="B1225" s="631"/>
      <c r="C1225" s="631"/>
      <c r="D1225" s="832"/>
      <c r="E1225" s="631"/>
      <c r="F1225" s="631"/>
      <c r="G1225" s="631"/>
      <c r="H1225" s="833"/>
      <c r="I1225" s="834"/>
      <c r="J1225" s="834"/>
      <c r="K1225" s="835"/>
      <c r="L1225" s="835"/>
      <c r="M1225" s="835"/>
      <c r="N1225" s="835"/>
      <c r="O1225" s="835"/>
      <c r="P1225" s="835"/>
      <c r="Q1225" s="540"/>
      <c r="R1225" s="540"/>
      <c r="S1225" s="540"/>
      <c r="T1225" s="540"/>
      <c r="U1225" s="540"/>
      <c r="V1225" s="540"/>
      <c r="W1225" s="540"/>
      <c r="X1225" s="540"/>
      <c r="Y1225" s="540"/>
      <c r="Z1225" s="540"/>
    </row>
    <row r="1226" spans="1:26" ht="19">
      <c r="A1226" s="631"/>
      <c r="B1226" s="631"/>
      <c r="C1226" s="631"/>
      <c r="D1226" s="832"/>
      <c r="E1226" s="631"/>
      <c r="F1226" s="631"/>
      <c r="G1226" s="631"/>
      <c r="H1226" s="833"/>
      <c r="I1226" s="834"/>
      <c r="J1226" s="834"/>
      <c r="K1226" s="835"/>
      <c r="L1226" s="835"/>
      <c r="M1226" s="835"/>
      <c r="N1226" s="835"/>
      <c r="O1226" s="835"/>
      <c r="P1226" s="835"/>
      <c r="Q1226" s="540"/>
      <c r="R1226" s="540"/>
      <c r="S1226" s="540"/>
      <c r="T1226" s="540"/>
      <c r="U1226" s="540"/>
      <c r="V1226" s="540"/>
      <c r="W1226" s="540"/>
      <c r="X1226" s="540"/>
      <c r="Y1226" s="540"/>
      <c r="Z1226" s="540"/>
    </row>
    <row r="1227" spans="1:26" ht="19">
      <c r="A1227" s="631"/>
      <c r="B1227" s="631"/>
      <c r="C1227" s="631"/>
      <c r="D1227" s="832"/>
      <c r="E1227" s="631"/>
      <c r="F1227" s="631"/>
      <c r="G1227" s="631"/>
      <c r="H1227" s="833"/>
      <c r="I1227" s="834"/>
      <c r="J1227" s="834"/>
      <c r="K1227" s="835"/>
      <c r="L1227" s="835"/>
      <c r="M1227" s="835"/>
      <c r="N1227" s="835"/>
      <c r="O1227" s="835"/>
      <c r="P1227" s="835"/>
      <c r="Q1227" s="540"/>
      <c r="R1227" s="540"/>
      <c r="S1227" s="540"/>
      <c r="T1227" s="540"/>
      <c r="U1227" s="540"/>
      <c r="V1227" s="540"/>
      <c r="W1227" s="540"/>
      <c r="X1227" s="540"/>
      <c r="Y1227" s="540"/>
      <c r="Z1227" s="540"/>
    </row>
    <row r="1228" spans="1:26" ht="19">
      <c r="A1228" s="631"/>
      <c r="B1228" s="631"/>
      <c r="C1228" s="631"/>
      <c r="D1228" s="832"/>
      <c r="E1228" s="631"/>
      <c r="F1228" s="631"/>
      <c r="G1228" s="631"/>
      <c r="H1228" s="833"/>
      <c r="I1228" s="834"/>
      <c r="J1228" s="834"/>
      <c r="K1228" s="835"/>
      <c r="L1228" s="835"/>
      <c r="M1228" s="835"/>
      <c r="N1228" s="835"/>
      <c r="O1228" s="835"/>
      <c r="P1228" s="835"/>
      <c r="Q1228" s="540"/>
      <c r="R1228" s="540"/>
      <c r="S1228" s="540"/>
      <c r="T1228" s="540"/>
      <c r="U1228" s="540"/>
      <c r="V1228" s="540"/>
      <c r="W1228" s="540"/>
      <c r="X1228" s="540"/>
      <c r="Y1228" s="540"/>
      <c r="Z1228" s="540"/>
    </row>
    <row r="1229" spans="1:26" ht="19">
      <c r="A1229" s="631"/>
      <c r="B1229" s="631"/>
      <c r="C1229" s="631"/>
      <c r="D1229" s="832"/>
      <c r="E1229" s="631"/>
      <c r="F1229" s="631"/>
      <c r="G1229" s="631"/>
      <c r="H1229" s="833"/>
      <c r="I1229" s="834"/>
      <c r="J1229" s="834"/>
      <c r="K1229" s="835"/>
      <c r="L1229" s="835"/>
      <c r="M1229" s="835"/>
      <c r="N1229" s="835"/>
      <c r="O1229" s="835"/>
      <c r="P1229" s="835"/>
      <c r="Q1229" s="540"/>
      <c r="R1229" s="540"/>
      <c r="S1229" s="540"/>
      <c r="T1229" s="540"/>
      <c r="U1229" s="540"/>
      <c r="V1229" s="540"/>
      <c r="W1229" s="540"/>
      <c r="X1229" s="540"/>
      <c r="Y1229" s="540"/>
      <c r="Z1229" s="540"/>
    </row>
    <row r="1230" spans="1:26" ht="19">
      <c r="A1230" s="631"/>
      <c r="B1230" s="631"/>
      <c r="C1230" s="631"/>
      <c r="D1230" s="832"/>
      <c r="E1230" s="631"/>
      <c r="F1230" s="631"/>
      <c r="G1230" s="631"/>
      <c r="H1230" s="833"/>
      <c r="I1230" s="834"/>
      <c r="J1230" s="834"/>
      <c r="K1230" s="835"/>
      <c r="L1230" s="835"/>
      <c r="M1230" s="835"/>
      <c r="N1230" s="835"/>
      <c r="O1230" s="835"/>
      <c r="P1230" s="835"/>
      <c r="Q1230" s="540"/>
      <c r="R1230" s="540"/>
      <c r="S1230" s="540"/>
      <c r="T1230" s="540"/>
      <c r="U1230" s="540"/>
      <c r="V1230" s="540"/>
      <c r="W1230" s="540"/>
      <c r="X1230" s="540"/>
      <c r="Y1230" s="540"/>
      <c r="Z1230" s="540"/>
    </row>
    <row r="1231" spans="1:26" ht="19">
      <c r="A1231" s="631"/>
      <c r="B1231" s="631"/>
      <c r="C1231" s="631"/>
      <c r="D1231" s="832"/>
      <c r="E1231" s="631"/>
      <c r="F1231" s="631"/>
      <c r="G1231" s="631"/>
      <c r="H1231" s="833"/>
      <c r="I1231" s="834"/>
      <c r="J1231" s="834"/>
      <c r="K1231" s="835"/>
      <c r="L1231" s="835"/>
      <c r="M1231" s="835"/>
      <c r="N1231" s="835"/>
      <c r="O1231" s="835"/>
      <c r="P1231" s="835"/>
      <c r="Q1231" s="540"/>
      <c r="R1231" s="540"/>
      <c r="S1231" s="540"/>
      <c r="T1231" s="540"/>
      <c r="U1231" s="540"/>
      <c r="V1231" s="540"/>
      <c r="W1231" s="540"/>
      <c r="X1231" s="540"/>
      <c r="Y1231" s="540"/>
      <c r="Z1231" s="540"/>
    </row>
    <row r="1232" spans="1:26" ht="19">
      <c r="A1232" s="631"/>
      <c r="B1232" s="631"/>
      <c r="C1232" s="631"/>
      <c r="D1232" s="832"/>
      <c r="E1232" s="631"/>
      <c r="F1232" s="631"/>
      <c r="G1232" s="631"/>
      <c r="H1232" s="833"/>
      <c r="I1232" s="834"/>
      <c r="J1232" s="834"/>
      <c r="K1232" s="835"/>
      <c r="L1232" s="835"/>
      <c r="M1232" s="835"/>
      <c r="N1232" s="835"/>
      <c r="O1232" s="835"/>
      <c r="P1232" s="835"/>
      <c r="Q1232" s="540"/>
      <c r="R1232" s="540"/>
      <c r="S1232" s="540"/>
      <c r="T1232" s="540"/>
      <c r="U1232" s="540"/>
      <c r="V1232" s="540"/>
      <c r="W1232" s="540"/>
      <c r="X1232" s="540"/>
      <c r="Y1232" s="540"/>
      <c r="Z1232" s="540"/>
    </row>
    <row r="1233" spans="1:26" ht="19">
      <c r="A1233" s="631"/>
      <c r="B1233" s="631"/>
      <c r="C1233" s="631"/>
      <c r="D1233" s="832"/>
      <c r="E1233" s="631"/>
      <c r="F1233" s="631"/>
      <c r="G1233" s="631"/>
      <c r="H1233" s="833"/>
      <c r="I1233" s="834"/>
      <c r="J1233" s="834"/>
      <c r="K1233" s="835"/>
      <c r="L1233" s="835"/>
      <c r="M1233" s="835"/>
      <c r="N1233" s="835"/>
      <c r="O1233" s="835"/>
      <c r="P1233" s="835"/>
      <c r="Q1233" s="540"/>
      <c r="R1233" s="540"/>
      <c r="S1233" s="540"/>
      <c r="T1233" s="540"/>
      <c r="U1233" s="540"/>
      <c r="V1233" s="540"/>
      <c r="W1233" s="540"/>
      <c r="X1233" s="540"/>
      <c r="Y1233" s="540"/>
      <c r="Z1233" s="540"/>
    </row>
    <row r="1234" spans="1:26" ht="19">
      <c r="A1234" s="631"/>
      <c r="B1234" s="631"/>
      <c r="C1234" s="631"/>
      <c r="D1234" s="832"/>
      <c r="E1234" s="631"/>
      <c r="F1234" s="631"/>
      <c r="G1234" s="631"/>
      <c r="H1234" s="833"/>
      <c r="I1234" s="834"/>
      <c r="J1234" s="834"/>
      <c r="K1234" s="835"/>
      <c r="L1234" s="835"/>
      <c r="M1234" s="835"/>
      <c r="N1234" s="835"/>
      <c r="O1234" s="835"/>
      <c r="P1234" s="835"/>
      <c r="Q1234" s="540"/>
      <c r="R1234" s="540"/>
      <c r="S1234" s="540"/>
      <c r="T1234" s="540"/>
      <c r="U1234" s="540"/>
      <c r="V1234" s="540"/>
      <c r="W1234" s="540"/>
      <c r="X1234" s="540"/>
      <c r="Y1234" s="540"/>
      <c r="Z1234" s="540"/>
    </row>
    <row r="1235" spans="1:26" ht="19">
      <c r="A1235" s="631"/>
      <c r="B1235" s="631"/>
      <c r="C1235" s="631"/>
      <c r="D1235" s="832"/>
      <c r="E1235" s="631"/>
      <c r="F1235" s="631"/>
      <c r="G1235" s="631"/>
      <c r="H1235" s="833"/>
      <c r="I1235" s="834"/>
      <c r="J1235" s="834"/>
      <c r="K1235" s="835"/>
      <c r="L1235" s="835"/>
      <c r="M1235" s="835"/>
      <c r="N1235" s="835"/>
      <c r="O1235" s="835"/>
      <c r="P1235" s="835"/>
      <c r="Q1235" s="540"/>
      <c r="R1235" s="540"/>
      <c r="S1235" s="540"/>
      <c r="T1235" s="540"/>
      <c r="U1235" s="540"/>
      <c r="V1235" s="540"/>
      <c r="W1235" s="540"/>
      <c r="X1235" s="540"/>
      <c r="Y1235" s="540"/>
      <c r="Z1235" s="540"/>
    </row>
    <row r="1236" spans="1:26" ht="19">
      <c r="A1236" s="631"/>
      <c r="B1236" s="631"/>
      <c r="C1236" s="631"/>
      <c r="D1236" s="832"/>
      <c r="E1236" s="631"/>
      <c r="F1236" s="631"/>
      <c r="G1236" s="631"/>
      <c r="H1236" s="833"/>
      <c r="I1236" s="834"/>
      <c r="J1236" s="834"/>
      <c r="K1236" s="835"/>
      <c r="L1236" s="835"/>
      <c r="M1236" s="835"/>
      <c r="N1236" s="835"/>
      <c r="O1236" s="835"/>
      <c r="P1236" s="835"/>
      <c r="Q1236" s="540"/>
      <c r="R1236" s="540"/>
      <c r="S1236" s="540"/>
      <c r="T1236" s="540"/>
      <c r="U1236" s="540"/>
      <c r="V1236" s="540"/>
      <c r="W1236" s="540"/>
      <c r="X1236" s="540"/>
      <c r="Y1236" s="540"/>
      <c r="Z1236" s="540"/>
    </row>
    <row r="1237" spans="1:26" ht="19">
      <c r="A1237" s="631"/>
      <c r="B1237" s="631"/>
      <c r="C1237" s="631"/>
      <c r="D1237" s="832"/>
      <c r="E1237" s="631"/>
      <c r="F1237" s="631"/>
      <c r="G1237" s="631"/>
      <c r="H1237" s="833"/>
      <c r="I1237" s="834"/>
      <c r="J1237" s="834"/>
      <c r="K1237" s="835"/>
      <c r="L1237" s="835"/>
      <c r="M1237" s="835"/>
      <c r="N1237" s="835"/>
      <c r="O1237" s="835"/>
      <c r="P1237" s="835"/>
      <c r="Q1237" s="540"/>
      <c r="R1237" s="540"/>
      <c r="S1237" s="540"/>
      <c r="T1237" s="540"/>
      <c r="U1237" s="540"/>
      <c r="V1237" s="540"/>
      <c r="W1237" s="540"/>
      <c r="X1237" s="540"/>
      <c r="Y1237" s="540"/>
      <c r="Z1237" s="540"/>
    </row>
    <row r="1238" spans="1:26" ht="19">
      <c r="A1238" s="631"/>
      <c r="B1238" s="631"/>
      <c r="C1238" s="631"/>
      <c r="D1238" s="832"/>
      <c r="E1238" s="631"/>
      <c r="F1238" s="631"/>
      <c r="G1238" s="631"/>
      <c r="H1238" s="833"/>
      <c r="I1238" s="834"/>
      <c r="J1238" s="834"/>
      <c r="K1238" s="835"/>
      <c r="L1238" s="835"/>
      <c r="M1238" s="835"/>
      <c r="N1238" s="835"/>
      <c r="O1238" s="835"/>
      <c r="P1238" s="835"/>
      <c r="Q1238" s="540"/>
      <c r="R1238" s="540"/>
      <c r="S1238" s="540"/>
      <c r="T1238" s="540"/>
      <c r="U1238" s="540"/>
      <c r="V1238" s="540"/>
      <c r="W1238" s="540"/>
      <c r="X1238" s="540"/>
      <c r="Y1238" s="540"/>
      <c r="Z1238" s="540"/>
    </row>
    <row r="1239" spans="1:26" ht="19">
      <c r="A1239" s="631"/>
      <c r="B1239" s="631"/>
      <c r="C1239" s="631"/>
      <c r="D1239" s="832"/>
      <c r="E1239" s="631"/>
      <c r="F1239" s="631"/>
      <c r="G1239" s="631"/>
      <c r="H1239" s="833"/>
      <c r="I1239" s="834"/>
      <c r="J1239" s="834"/>
      <c r="K1239" s="835"/>
      <c r="L1239" s="835"/>
      <c r="M1239" s="835"/>
      <c r="N1239" s="835"/>
      <c r="O1239" s="835"/>
      <c r="P1239" s="835"/>
      <c r="Q1239" s="540"/>
      <c r="R1239" s="540"/>
      <c r="S1239" s="540"/>
      <c r="T1239" s="540"/>
      <c r="U1239" s="540"/>
      <c r="V1239" s="540"/>
      <c r="W1239" s="540"/>
      <c r="X1239" s="540"/>
      <c r="Y1239" s="540"/>
      <c r="Z1239" s="540"/>
    </row>
    <row r="1240" spans="1:26" ht="19">
      <c r="A1240" s="631"/>
      <c r="B1240" s="631"/>
      <c r="C1240" s="631"/>
      <c r="D1240" s="832"/>
      <c r="E1240" s="631"/>
      <c r="F1240" s="631"/>
      <c r="G1240" s="631"/>
      <c r="H1240" s="833"/>
      <c r="I1240" s="834"/>
      <c r="J1240" s="834"/>
      <c r="K1240" s="835"/>
      <c r="L1240" s="835"/>
      <c r="M1240" s="835"/>
      <c r="N1240" s="835"/>
      <c r="O1240" s="835"/>
      <c r="P1240" s="835"/>
      <c r="Q1240" s="540"/>
      <c r="R1240" s="540"/>
      <c r="S1240" s="540"/>
      <c r="T1240" s="540"/>
      <c r="U1240" s="540"/>
      <c r="V1240" s="540"/>
      <c r="W1240" s="540"/>
      <c r="X1240" s="540"/>
      <c r="Y1240" s="540"/>
      <c r="Z1240" s="540"/>
    </row>
    <row r="1241" spans="1:26" ht="19">
      <c r="A1241" s="631"/>
      <c r="B1241" s="631"/>
      <c r="C1241" s="631"/>
      <c r="D1241" s="832"/>
      <c r="E1241" s="631"/>
      <c r="F1241" s="631"/>
      <c r="G1241" s="631"/>
      <c r="H1241" s="833"/>
      <c r="I1241" s="834"/>
      <c r="J1241" s="834"/>
      <c r="K1241" s="835"/>
      <c r="L1241" s="835"/>
      <c r="M1241" s="835"/>
      <c r="N1241" s="835"/>
      <c r="O1241" s="835"/>
      <c r="P1241" s="835"/>
      <c r="Q1241" s="540"/>
      <c r="R1241" s="540"/>
      <c r="S1241" s="540"/>
      <c r="T1241" s="540"/>
      <c r="U1241" s="540"/>
      <c r="V1241" s="540"/>
      <c r="W1241" s="540"/>
      <c r="X1241" s="540"/>
      <c r="Y1241" s="540"/>
      <c r="Z1241" s="540"/>
    </row>
    <row r="1242" spans="1:26" ht="19">
      <c r="A1242" s="631"/>
      <c r="B1242" s="631"/>
      <c r="C1242" s="631"/>
      <c r="D1242" s="832"/>
      <c r="E1242" s="631"/>
      <c r="F1242" s="631"/>
      <c r="G1242" s="631"/>
      <c r="H1242" s="833"/>
      <c r="I1242" s="834"/>
      <c r="J1242" s="834"/>
      <c r="K1242" s="835"/>
      <c r="L1242" s="835"/>
      <c r="M1242" s="835"/>
      <c r="N1242" s="835"/>
      <c r="O1242" s="835"/>
      <c r="P1242" s="835"/>
      <c r="Q1242" s="540"/>
      <c r="R1242" s="540"/>
      <c r="S1242" s="540"/>
      <c r="T1242" s="540"/>
      <c r="U1242" s="540"/>
      <c r="V1242" s="540"/>
      <c r="W1242" s="540"/>
      <c r="X1242" s="540"/>
      <c r="Y1242" s="540"/>
      <c r="Z1242" s="540"/>
    </row>
    <row r="1243" spans="1:26" ht="19">
      <c r="A1243" s="631"/>
      <c r="B1243" s="631"/>
      <c r="C1243" s="631"/>
      <c r="D1243" s="832"/>
      <c r="E1243" s="631"/>
      <c r="F1243" s="631"/>
      <c r="G1243" s="631"/>
      <c r="H1243" s="833"/>
      <c r="I1243" s="834"/>
      <c r="J1243" s="834"/>
      <c r="K1243" s="835"/>
      <c r="L1243" s="835"/>
      <c r="M1243" s="835"/>
      <c r="N1243" s="835"/>
      <c r="O1243" s="835"/>
      <c r="P1243" s="835"/>
      <c r="Q1243" s="540"/>
      <c r="R1243" s="540"/>
      <c r="S1243" s="540"/>
      <c r="T1243" s="540"/>
      <c r="U1243" s="540"/>
      <c r="V1243" s="540"/>
      <c r="W1243" s="540"/>
      <c r="X1243" s="540"/>
      <c r="Y1243" s="540"/>
      <c r="Z1243" s="540"/>
    </row>
    <row r="1244" spans="1:26" ht="19">
      <c r="A1244" s="631"/>
      <c r="B1244" s="631"/>
      <c r="C1244" s="631"/>
      <c r="D1244" s="832"/>
      <c r="E1244" s="631"/>
      <c r="F1244" s="631"/>
      <c r="G1244" s="631"/>
      <c r="H1244" s="833"/>
      <c r="I1244" s="834"/>
      <c r="J1244" s="834"/>
      <c r="K1244" s="835"/>
      <c r="L1244" s="835"/>
      <c r="M1244" s="835"/>
      <c r="N1244" s="835"/>
      <c r="O1244" s="835"/>
      <c r="P1244" s="835"/>
      <c r="Q1244" s="540"/>
      <c r="R1244" s="540"/>
      <c r="S1244" s="540"/>
      <c r="T1244" s="540"/>
      <c r="U1244" s="540"/>
      <c r="V1244" s="540"/>
      <c r="W1244" s="540"/>
      <c r="X1244" s="540"/>
      <c r="Y1244" s="540"/>
      <c r="Z1244" s="540"/>
    </row>
    <row r="1245" spans="1:26" ht="19">
      <c r="A1245" s="631"/>
      <c r="B1245" s="631"/>
      <c r="C1245" s="631"/>
      <c r="D1245" s="832"/>
      <c r="E1245" s="631"/>
      <c r="F1245" s="631"/>
      <c r="G1245" s="631"/>
      <c r="H1245" s="833"/>
      <c r="I1245" s="834"/>
      <c r="J1245" s="834"/>
      <c r="K1245" s="835"/>
      <c r="L1245" s="835"/>
      <c r="M1245" s="835"/>
      <c r="N1245" s="835"/>
      <c r="O1245" s="835"/>
      <c r="P1245" s="835"/>
      <c r="Q1245" s="540"/>
      <c r="R1245" s="540"/>
      <c r="S1245" s="540"/>
      <c r="T1245" s="540"/>
      <c r="U1245" s="540"/>
      <c r="V1245" s="540"/>
      <c r="W1245" s="540"/>
      <c r="X1245" s="540"/>
      <c r="Y1245" s="540"/>
      <c r="Z1245" s="540"/>
    </row>
    <row r="1246" spans="1:26" ht="19">
      <c r="A1246" s="631"/>
      <c r="B1246" s="631"/>
      <c r="C1246" s="631"/>
      <c r="D1246" s="832"/>
      <c r="E1246" s="631"/>
      <c r="F1246" s="631"/>
      <c r="G1246" s="631"/>
      <c r="H1246" s="833"/>
      <c r="I1246" s="834"/>
      <c r="J1246" s="834"/>
      <c r="K1246" s="835"/>
      <c r="L1246" s="835"/>
      <c r="M1246" s="835"/>
      <c r="N1246" s="835"/>
      <c r="O1246" s="835"/>
      <c r="P1246" s="835"/>
      <c r="Q1246" s="540"/>
      <c r="R1246" s="540"/>
      <c r="S1246" s="540"/>
      <c r="T1246" s="540"/>
      <c r="U1246" s="540"/>
      <c r="V1246" s="540"/>
      <c r="W1246" s="540"/>
      <c r="X1246" s="540"/>
      <c r="Y1246" s="540"/>
      <c r="Z1246" s="540"/>
    </row>
    <row r="1247" spans="1:26" ht="19">
      <c r="A1247" s="631"/>
      <c r="B1247" s="631"/>
      <c r="C1247" s="631"/>
      <c r="D1247" s="832"/>
      <c r="E1247" s="631"/>
      <c r="F1247" s="631"/>
      <c r="G1247" s="631"/>
      <c r="H1247" s="833"/>
      <c r="I1247" s="834"/>
      <c r="J1247" s="834"/>
      <c r="K1247" s="835"/>
      <c r="L1247" s="835"/>
      <c r="M1247" s="835"/>
      <c r="N1247" s="835"/>
      <c r="O1247" s="835"/>
      <c r="P1247" s="835"/>
      <c r="Q1247" s="540"/>
      <c r="R1247" s="540"/>
      <c r="S1247" s="540"/>
      <c r="T1247" s="540"/>
      <c r="U1247" s="540"/>
      <c r="V1247" s="540"/>
      <c r="W1247" s="540"/>
      <c r="X1247" s="540"/>
      <c r="Y1247" s="540"/>
      <c r="Z1247" s="540"/>
    </row>
    <row r="1248" spans="1:26" ht="19">
      <c r="A1248" s="631"/>
      <c r="B1248" s="631"/>
      <c r="C1248" s="631"/>
      <c r="D1248" s="832"/>
      <c r="E1248" s="631"/>
      <c r="F1248" s="631"/>
      <c r="G1248" s="631"/>
      <c r="H1248" s="833"/>
      <c r="I1248" s="834"/>
      <c r="J1248" s="834"/>
      <c r="K1248" s="835"/>
      <c r="L1248" s="835"/>
      <c r="M1248" s="835"/>
      <c r="N1248" s="835"/>
      <c r="O1248" s="835"/>
      <c r="P1248" s="835"/>
      <c r="Q1248" s="540"/>
      <c r="R1248" s="540"/>
      <c r="S1248" s="540"/>
      <c r="T1248" s="540"/>
      <c r="U1248" s="540"/>
      <c r="V1248" s="540"/>
      <c r="W1248" s="540"/>
      <c r="X1248" s="540"/>
      <c r="Y1248" s="540"/>
      <c r="Z1248" s="540"/>
    </row>
    <row r="1249" spans="1:26" ht="19">
      <c r="A1249" s="631"/>
      <c r="B1249" s="631"/>
      <c r="C1249" s="631"/>
      <c r="D1249" s="832"/>
      <c r="E1249" s="631"/>
      <c r="F1249" s="631"/>
      <c r="G1249" s="631"/>
      <c r="H1249" s="833"/>
      <c r="I1249" s="834"/>
      <c r="J1249" s="834"/>
      <c r="K1249" s="835"/>
      <c r="L1249" s="835"/>
      <c r="M1249" s="835"/>
      <c r="N1249" s="835"/>
      <c r="O1249" s="835"/>
      <c r="P1249" s="835"/>
      <c r="Q1249" s="540"/>
      <c r="R1249" s="540"/>
      <c r="S1249" s="540"/>
      <c r="T1249" s="540"/>
      <c r="U1249" s="540"/>
      <c r="V1249" s="540"/>
      <c r="W1249" s="540"/>
      <c r="X1249" s="540"/>
      <c r="Y1249" s="540"/>
      <c r="Z1249" s="540"/>
    </row>
    <row r="1250" spans="1:26" ht="19">
      <c r="A1250" s="631"/>
      <c r="B1250" s="631"/>
      <c r="C1250" s="631"/>
      <c r="D1250" s="832"/>
      <c r="E1250" s="631"/>
      <c r="F1250" s="631"/>
      <c r="G1250" s="631"/>
      <c r="H1250" s="833"/>
      <c r="I1250" s="834"/>
      <c r="J1250" s="834"/>
      <c r="K1250" s="835"/>
      <c r="L1250" s="835"/>
      <c r="M1250" s="835"/>
      <c r="N1250" s="835"/>
      <c r="O1250" s="835"/>
      <c r="P1250" s="835"/>
      <c r="Q1250" s="540"/>
      <c r="R1250" s="540"/>
      <c r="S1250" s="540"/>
      <c r="T1250" s="540"/>
      <c r="U1250" s="540"/>
      <c r="V1250" s="540"/>
      <c r="W1250" s="540"/>
      <c r="X1250" s="540"/>
      <c r="Y1250" s="540"/>
      <c r="Z1250" s="540"/>
    </row>
    <row r="1251" spans="1:26" ht="19">
      <c r="A1251" s="631"/>
      <c r="B1251" s="631"/>
      <c r="C1251" s="631"/>
      <c r="D1251" s="832"/>
      <c r="E1251" s="631"/>
      <c r="F1251" s="631"/>
      <c r="G1251" s="631"/>
      <c r="H1251" s="833"/>
      <c r="I1251" s="834"/>
      <c r="J1251" s="834"/>
      <c r="K1251" s="835"/>
      <c r="L1251" s="835"/>
      <c r="M1251" s="835"/>
      <c r="N1251" s="835"/>
      <c r="O1251" s="835"/>
      <c r="P1251" s="835"/>
      <c r="Q1251" s="540"/>
      <c r="R1251" s="540"/>
      <c r="S1251" s="540"/>
      <c r="T1251" s="540"/>
      <c r="U1251" s="540"/>
      <c r="V1251" s="540"/>
      <c r="W1251" s="540"/>
      <c r="X1251" s="540"/>
      <c r="Y1251" s="540"/>
      <c r="Z1251" s="540"/>
    </row>
    <row r="1252" spans="1:26" ht="19">
      <c r="A1252" s="631"/>
      <c r="B1252" s="631"/>
      <c r="C1252" s="631"/>
      <c r="D1252" s="832"/>
      <c r="E1252" s="631"/>
      <c r="F1252" s="631"/>
      <c r="G1252" s="631"/>
      <c r="H1252" s="833"/>
      <c r="I1252" s="834"/>
      <c r="J1252" s="834"/>
      <c r="K1252" s="835"/>
      <c r="L1252" s="835"/>
      <c r="M1252" s="835"/>
      <c r="N1252" s="835"/>
      <c r="O1252" s="835"/>
      <c r="P1252" s="835"/>
      <c r="Q1252" s="540"/>
      <c r="R1252" s="540"/>
      <c r="S1252" s="540"/>
      <c r="T1252" s="540"/>
      <c r="U1252" s="540"/>
      <c r="V1252" s="540"/>
      <c r="W1252" s="540"/>
      <c r="X1252" s="540"/>
      <c r="Y1252" s="540"/>
      <c r="Z1252" s="540"/>
    </row>
    <row r="1253" spans="1:26" ht="19">
      <c r="A1253" s="631"/>
      <c r="B1253" s="631"/>
      <c r="C1253" s="631"/>
      <c r="D1253" s="832"/>
      <c r="E1253" s="631"/>
      <c r="F1253" s="631"/>
      <c r="G1253" s="631"/>
      <c r="H1253" s="833"/>
      <c r="I1253" s="834"/>
      <c r="J1253" s="834"/>
      <c r="K1253" s="835"/>
      <c r="L1253" s="835"/>
      <c r="M1253" s="835"/>
      <c r="N1253" s="835"/>
      <c r="O1253" s="835"/>
      <c r="P1253" s="835"/>
      <c r="Q1253" s="540"/>
      <c r="R1253" s="540"/>
      <c r="S1253" s="540"/>
      <c r="T1253" s="540"/>
      <c r="U1253" s="540"/>
      <c r="V1253" s="540"/>
      <c r="W1253" s="540"/>
      <c r="X1253" s="540"/>
      <c r="Y1253" s="540"/>
      <c r="Z1253" s="540"/>
    </row>
    <row r="1254" spans="1:26" ht="19">
      <c r="A1254" s="631"/>
      <c r="B1254" s="631"/>
      <c r="C1254" s="631"/>
      <c r="D1254" s="832"/>
      <c r="E1254" s="631"/>
      <c r="F1254" s="631"/>
      <c r="G1254" s="631"/>
      <c r="H1254" s="833"/>
      <c r="I1254" s="834"/>
      <c r="J1254" s="834"/>
      <c r="K1254" s="835"/>
      <c r="L1254" s="835"/>
      <c r="M1254" s="835"/>
      <c r="N1254" s="835"/>
      <c r="O1254" s="835"/>
      <c r="P1254" s="835"/>
      <c r="Q1254" s="540"/>
      <c r="R1254" s="540"/>
      <c r="S1254" s="540"/>
      <c r="T1254" s="540"/>
      <c r="U1254" s="540"/>
      <c r="V1254" s="540"/>
      <c r="W1254" s="540"/>
      <c r="X1254" s="540"/>
      <c r="Y1254" s="540"/>
      <c r="Z1254" s="540"/>
    </row>
    <row r="1255" spans="1:26" ht="19">
      <c r="A1255" s="631"/>
      <c r="B1255" s="631"/>
      <c r="C1255" s="631"/>
      <c r="D1255" s="832"/>
      <c r="E1255" s="631"/>
      <c r="F1255" s="631"/>
      <c r="G1255" s="631"/>
      <c r="H1255" s="833"/>
      <c r="I1255" s="834"/>
      <c r="J1255" s="834"/>
      <c r="K1255" s="835"/>
      <c r="L1255" s="835"/>
      <c r="M1255" s="835"/>
      <c r="N1255" s="835"/>
      <c r="O1255" s="835"/>
      <c r="P1255" s="835"/>
      <c r="Q1255" s="540"/>
      <c r="R1255" s="540"/>
      <c r="S1255" s="540"/>
      <c r="T1255" s="540"/>
      <c r="U1255" s="540"/>
      <c r="V1255" s="540"/>
      <c r="W1255" s="540"/>
      <c r="X1255" s="540"/>
      <c r="Y1255" s="540"/>
      <c r="Z1255" s="540"/>
    </row>
    <row r="1256" spans="1:26" ht="19">
      <c r="A1256" s="631"/>
      <c r="B1256" s="631"/>
      <c r="C1256" s="631"/>
      <c r="D1256" s="832"/>
      <c r="E1256" s="631"/>
      <c r="F1256" s="631"/>
      <c r="G1256" s="631"/>
      <c r="H1256" s="833"/>
      <c r="I1256" s="834"/>
      <c r="J1256" s="834"/>
      <c r="K1256" s="835"/>
      <c r="L1256" s="835"/>
      <c r="M1256" s="835"/>
      <c r="N1256" s="835"/>
      <c r="O1256" s="835"/>
      <c r="P1256" s="835"/>
      <c r="Q1256" s="540"/>
      <c r="R1256" s="540"/>
      <c r="S1256" s="540"/>
      <c r="T1256" s="540"/>
      <c r="U1256" s="540"/>
      <c r="V1256" s="540"/>
      <c r="W1256" s="540"/>
      <c r="X1256" s="540"/>
      <c r="Y1256" s="540"/>
      <c r="Z1256" s="540"/>
    </row>
    <row r="1257" spans="1:26" ht="19">
      <c r="A1257" s="631"/>
      <c r="B1257" s="631"/>
      <c r="C1257" s="631"/>
      <c r="D1257" s="832"/>
      <c r="E1257" s="631"/>
      <c r="F1257" s="631"/>
      <c r="G1257" s="631"/>
      <c r="H1257" s="833"/>
      <c r="I1257" s="834"/>
      <c r="J1257" s="834"/>
      <c r="K1257" s="835"/>
      <c r="L1257" s="835"/>
      <c r="M1257" s="835"/>
      <c r="N1257" s="835"/>
      <c r="O1257" s="835"/>
      <c r="P1257" s="835"/>
      <c r="Q1257" s="540"/>
      <c r="R1257" s="540"/>
      <c r="S1257" s="540"/>
      <c r="T1257" s="540"/>
      <c r="U1257" s="540"/>
      <c r="V1257" s="540"/>
      <c r="W1257" s="540"/>
      <c r="X1257" s="540"/>
      <c r="Y1257" s="540"/>
      <c r="Z1257" s="540"/>
    </row>
    <row r="1258" spans="1:26" ht="19">
      <c r="A1258" s="631"/>
      <c r="B1258" s="631"/>
      <c r="C1258" s="631"/>
      <c r="D1258" s="832"/>
      <c r="E1258" s="631"/>
      <c r="F1258" s="631"/>
      <c r="G1258" s="631"/>
      <c r="H1258" s="833"/>
      <c r="I1258" s="834"/>
      <c r="J1258" s="834"/>
      <c r="K1258" s="835"/>
      <c r="L1258" s="835"/>
      <c r="M1258" s="835"/>
      <c r="N1258" s="835"/>
      <c r="O1258" s="835"/>
      <c r="P1258" s="835"/>
      <c r="Q1258" s="540"/>
      <c r="R1258" s="540"/>
      <c r="S1258" s="540"/>
      <c r="T1258" s="540"/>
      <c r="U1258" s="540"/>
      <c r="V1258" s="540"/>
      <c r="W1258" s="540"/>
      <c r="X1258" s="540"/>
      <c r="Y1258" s="540"/>
      <c r="Z1258" s="540"/>
    </row>
    <row r="1259" spans="1:26" ht="19">
      <c r="A1259" s="631"/>
      <c r="B1259" s="631"/>
      <c r="C1259" s="631"/>
      <c r="D1259" s="832"/>
      <c r="E1259" s="631"/>
      <c r="F1259" s="631"/>
      <c r="G1259" s="631"/>
      <c r="H1259" s="833"/>
      <c r="I1259" s="834"/>
      <c r="J1259" s="834"/>
      <c r="K1259" s="835"/>
      <c r="L1259" s="835"/>
      <c r="M1259" s="835"/>
      <c r="N1259" s="835"/>
      <c r="O1259" s="835"/>
      <c r="P1259" s="835"/>
      <c r="Q1259" s="540"/>
      <c r="R1259" s="540"/>
      <c r="S1259" s="540"/>
      <c r="T1259" s="540"/>
      <c r="U1259" s="540"/>
      <c r="V1259" s="540"/>
      <c r="W1259" s="540"/>
      <c r="X1259" s="540"/>
      <c r="Y1259" s="540"/>
      <c r="Z1259" s="540"/>
    </row>
    <row r="1260" spans="1:26" ht="19">
      <c r="A1260" s="631"/>
      <c r="B1260" s="631"/>
      <c r="C1260" s="631"/>
      <c r="D1260" s="832"/>
      <c r="E1260" s="631"/>
      <c r="F1260" s="631"/>
      <c r="G1260" s="631"/>
      <c r="H1260" s="833"/>
      <c r="I1260" s="834"/>
      <c r="J1260" s="834"/>
      <c r="K1260" s="835"/>
      <c r="L1260" s="835"/>
      <c r="M1260" s="835"/>
      <c r="N1260" s="835"/>
      <c r="O1260" s="835"/>
      <c r="P1260" s="835"/>
      <c r="Q1260" s="540"/>
      <c r="R1260" s="540"/>
      <c r="S1260" s="540"/>
      <c r="T1260" s="540"/>
      <c r="U1260" s="540"/>
      <c r="V1260" s="540"/>
      <c r="W1260" s="540"/>
      <c r="X1260" s="540"/>
      <c r="Y1260" s="540"/>
      <c r="Z1260" s="540"/>
    </row>
    <row r="1261" spans="1:26" ht="19">
      <c r="A1261" s="631"/>
      <c r="B1261" s="631"/>
      <c r="C1261" s="631"/>
      <c r="D1261" s="832"/>
      <c r="E1261" s="631"/>
      <c r="F1261" s="631"/>
      <c r="G1261" s="631"/>
      <c r="H1261" s="833"/>
      <c r="I1261" s="834"/>
      <c r="J1261" s="834"/>
      <c r="K1261" s="835"/>
      <c r="L1261" s="835"/>
      <c r="M1261" s="835"/>
      <c r="N1261" s="835"/>
      <c r="O1261" s="835"/>
      <c r="P1261" s="835"/>
      <c r="Q1261" s="540"/>
      <c r="R1261" s="540"/>
      <c r="S1261" s="540"/>
      <c r="T1261" s="540"/>
      <c r="U1261" s="540"/>
      <c r="V1261" s="540"/>
      <c r="W1261" s="540"/>
      <c r="X1261" s="540"/>
      <c r="Y1261" s="540"/>
      <c r="Z1261" s="540"/>
    </row>
    <row r="1262" spans="1:26" ht="19">
      <c r="A1262" s="631"/>
      <c r="B1262" s="631"/>
      <c r="C1262" s="631"/>
      <c r="D1262" s="832"/>
      <c r="E1262" s="631"/>
      <c r="F1262" s="631"/>
      <c r="G1262" s="631"/>
      <c r="H1262" s="833"/>
      <c r="I1262" s="834"/>
      <c r="J1262" s="834"/>
      <c r="K1262" s="835"/>
      <c r="L1262" s="835"/>
      <c r="M1262" s="835"/>
      <c r="N1262" s="835"/>
      <c r="O1262" s="835"/>
      <c r="P1262" s="835"/>
      <c r="Q1262" s="540"/>
      <c r="R1262" s="540"/>
      <c r="S1262" s="540"/>
      <c r="T1262" s="540"/>
      <c r="U1262" s="540"/>
      <c r="V1262" s="540"/>
      <c r="W1262" s="540"/>
      <c r="X1262" s="540"/>
      <c r="Y1262" s="540"/>
      <c r="Z1262" s="540"/>
    </row>
    <row r="1263" spans="1:26" ht="19">
      <c r="A1263" s="631"/>
      <c r="B1263" s="631"/>
      <c r="C1263" s="631"/>
      <c r="D1263" s="832"/>
      <c r="E1263" s="631"/>
      <c r="F1263" s="631"/>
      <c r="G1263" s="631"/>
      <c r="H1263" s="833"/>
      <c r="I1263" s="834"/>
      <c r="J1263" s="834"/>
      <c r="K1263" s="835"/>
      <c r="L1263" s="835"/>
      <c r="M1263" s="835"/>
      <c r="N1263" s="835"/>
      <c r="O1263" s="835"/>
      <c r="P1263" s="835"/>
      <c r="Q1263" s="540"/>
      <c r="R1263" s="540"/>
      <c r="S1263" s="540"/>
      <c r="T1263" s="540"/>
      <c r="U1263" s="540"/>
      <c r="V1263" s="540"/>
      <c r="W1263" s="540"/>
      <c r="X1263" s="540"/>
      <c r="Y1263" s="540"/>
      <c r="Z1263" s="540"/>
    </row>
    <row r="1264" spans="1:26" ht="19">
      <c r="A1264" s="631"/>
      <c r="B1264" s="631"/>
      <c r="C1264" s="631"/>
      <c r="D1264" s="832"/>
      <c r="E1264" s="631"/>
      <c r="F1264" s="631"/>
      <c r="G1264" s="631"/>
      <c r="H1264" s="833"/>
      <c r="I1264" s="834"/>
      <c r="J1264" s="834"/>
      <c r="K1264" s="835"/>
      <c r="L1264" s="835"/>
      <c r="M1264" s="835"/>
      <c r="N1264" s="835"/>
      <c r="O1264" s="835"/>
      <c r="P1264" s="835"/>
      <c r="Q1264" s="540"/>
      <c r="R1264" s="540"/>
      <c r="S1264" s="540"/>
      <c r="T1264" s="540"/>
      <c r="U1264" s="540"/>
      <c r="V1264" s="540"/>
      <c r="W1264" s="540"/>
      <c r="X1264" s="540"/>
      <c r="Y1264" s="540"/>
      <c r="Z1264" s="540"/>
    </row>
    <row r="1265" spans="1:26" ht="19">
      <c r="A1265" s="631"/>
      <c r="B1265" s="631"/>
      <c r="C1265" s="631"/>
      <c r="D1265" s="832"/>
      <c r="E1265" s="631"/>
      <c r="F1265" s="631"/>
      <c r="G1265" s="631"/>
      <c r="H1265" s="833"/>
      <c r="I1265" s="834"/>
      <c r="J1265" s="834"/>
      <c r="K1265" s="835"/>
      <c r="L1265" s="835"/>
      <c r="M1265" s="835"/>
      <c r="N1265" s="835"/>
      <c r="O1265" s="835"/>
      <c r="P1265" s="835"/>
      <c r="Q1265" s="540"/>
      <c r="R1265" s="540"/>
      <c r="S1265" s="540"/>
      <c r="T1265" s="540"/>
      <c r="U1265" s="540"/>
      <c r="V1265" s="540"/>
      <c r="W1265" s="540"/>
      <c r="X1265" s="540"/>
      <c r="Y1265" s="540"/>
      <c r="Z1265" s="540"/>
    </row>
    <row r="1266" spans="1:26" ht="19">
      <c r="A1266" s="631"/>
      <c r="B1266" s="631"/>
      <c r="C1266" s="631"/>
      <c r="D1266" s="832"/>
      <c r="E1266" s="631"/>
      <c r="F1266" s="631"/>
      <c r="G1266" s="631"/>
      <c r="H1266" s="833"/>
      <c r="I1266" s="834"/>
      <c r="J1266" s="834"/>
      <c r="K1266" s="835"/>
      <c r="L1266" s="835"/>
      <c r="M1266" s="835"/>
      <c r="N1266" s="835"/>
      <c r="O1266" s="835"/>
      <c r="P1266" s="835"/>
      <c r="Q1266" s="540"/>
      <c r="R1266" s="540"/>
      <c r="S1266" s="540"/>
      <c r="T1266" s="540"/>
      <c r="U1266" s="540"/>
      <c r="V1266" s="540"/>
      <c r="W1266" s="540"/>
      <c r="X1266" s="540"/>
      <c r="Y1266" s="540"/>
      <c r="Z1266" s="540"/>
    </row>
    <row r="1267" spans="1:26" ht="19">
      <c r="A1267" s="631"/>
      <c r="B1267" s="631"/>
      <c r="C1267" s="631"/>
      <c r="D1267" s="832"/>
      <c r="E1267" s="631"/>
      <c r="F1267" s="631"/>
      <c r="G1267" s="631"/>
      <c r="H1267" s="833"/>
      <c r="I1267" s="834"/>
      <c r="J1267" s="834"/>
      <c r="K1267" s="835"/>
      <c r="L1267" s="835"/>
      <c r="M1267" s="835"/>
      <c r="N1267" s="835"/>
      <c r="O1267" s="835"/>
      <c r="P1267" s="835"/>
      <c r="Q1267" s="540"/>
      <c r="R1267" s="540"/>
      <c r="S1267" s="540"/>
      <c r="T1267" s="540"/>
      <c r="U1267" s="540"/>
      <c r="V1267" s="540"/>
      <c r="W1267" s="540"/>
      <c r="X1267" s="540"/>
      <c r="Y1267" s="540"/>
      <c r="Z1267" s="540"/>
    </row>
    <row r="1268" spans="1:26" ht="19">
      <c r="A1268" s="631"/>
      <c r="B1268" s="631"/>
      <c r="C1268" s="631"/>
      <c r="D1268" s="832"/>
      <c r="E1268" s="631"/>
      <c r="F1268" s="631"/>
      <c r="G1268" s="631"/>
      <c r="H1268" s="833"/>
      <c r="I1268" s="834"/>
      <c r="J1268" s="834"/>
      <c r="K1268" s="835"/>
      <c r="L1268" s="835"/>
      <c r="M1268" s="835"/>
      <c r="N1268" s="835"/>
      <c r="O1268" s="835"/>
      <c r="P1268" s="835"/>
      <c r="Q1268" s="540"/>
      <c r="R1268" s="540"/>
      <c r="S1268" s="540"/>
      <c r="T1268" s="540"/>
      <c r="U1268" s="540"/>
      <c r="V1268" s="540"/>
      <c r="W1268" s="540"/>
      <c r="X1268" s="540"/>
      <c r="Y1268" s="540"/>
      <c r="Z1268" s="540"/>
    </row>
    <row r="1269" spans="1:26" ht="19">
      <c r="A1269" s="631"/>
      <c r="B1269" s="631"/>
      <c r="C1269" s="631"/>
      <c r="D1269" s="832"/>
      <c r="E1269" s="631"/>
      <c r="F1269" s="631"/>
      <c r="G1269" s="631"/>
      <c r="H1269" s="833"/>
      <c r="I1269" s="834"/>
      <c r="J1269" s="834"/>
      <c r="K1269" s="835"/>
      <c r="L1269" s="835"/>
      <c r="M1269" s="835"/>
      <c r="N1269" s="835"/>
      <c r="O1269" s="835"/>
      <c r="P1269" s="835"/>
      <c r="Q1269" s="540"/>
      <c r="R1269" s="540"/>
      <c r="S1269" s="540"/>
      <c r="T1269" s="540"/>
      <c r="U1269" s="540"/>
      <c r="V1269" s="540"/>
      <c r="W1269" s="540"/>
      <c r="X1269" s="540"/>
      <c r="Y1269" s="540"/>
      <c r="Z1269" s="540"/>
    </row>
    <row r="1270" spans="1:26" ht="19">
      <c r="A1270" s="631"/>
      <c r="B1270" s="631"/>
      <c r="C1270" s="631"/>
      <c r="D1270" s="832"/>
      <c r="E1270" s="631"/>
      <c r="F1270" s="631"/>
      <c r="G1270" s="631"/>
      <c r="H1270" s="833"/>
      <c r="I1270" s="834"/>
      <c r="J1270" s="834"/>
      <c r="K1270" s="835"/>
      <c r="L1270" s="835"/>
      <c r="M1270" s="835"/>
      <c r="N1270" s="835"/>
      <c r="O1270" s="835"/>
      <c r="P1270" s="835"/>
      <c r="Q1270" s="540"/>
      <c r="R1270" s="540"/>
      <c r="S1270" s="540"/>
      <c r="T1270" s="540"/>
      <c r="U1270" s="540"/>
      <c r="V1270" s="540"/>
      <c r="W1270" s="540"/>
      <c r="X1270" s="540"/>
      <c r="Y1270" s="540"/>
      <c r="Z1270" s="540"/>
    </row>
    <row r="1271" spans="1:26" ht="19">
      <c r="A1271" s="631"/>
      <c r="B1271" s="631"/>
      <c r="C1271" s="631"/>
      <c r="D1271" s="832"/>
      <c r="E1271" s="631"/>
      <c r="F1271" s="631"/>
      <c r="G1271" s="631"/>
      <c r="H1271" s="833"/>
      <c r="I1271" s="834"/>
      <c r="J1271" s="834"/>
      <c r="K1271" s="835"/>
      <c r="L1271" s="835"/>
      <c r="M1271" s="835"/>
      <c r="N1271" s="835"/>
      <c r="O1271" s="835"/>
      <c r="P1271" s="835"/>
      <c r="Q1271" s="540"/>
      <c r="R1271" s="540"/>
      <c r="S1271" s="540"/>
      <c r="T1271" s="540"/>
      <c r="U1271" s="540"/>
      <c r="V1271" s="540"/>
      <c r="W1271" s="540"/>
      <c r="X1271" s="540"/>
      <c r="Y1271" s="540"/>
      <c r="Z1271" s="540"/>
    </row>
    <row r="1272" spans="1:26" ht="19">
      <c r="A1272" s="631"/>
      <c r="B1272" s="631"/>
      <c r="C1272" s="631"/>
      <c r="D1272" s="832"/>
      <c r="E1272" s="631"/>
      <c r="F1272" s="631"/>
      <c r="G1272" s="631"/>
      <c r="H1272" s="833"/>
      <c r="I1272" s="834"/>
      <c r="J1272" s="834"/>
      <c r="K1272" s="835"/>
      <c r="L1272" s="835"/>
      <c r="M1272" s="835"/>
      <c r="N1272" s="835"/>
      <c r="O1272" s="835"/>
      <c r="P1272" s="835"/>
      <c r="Q1272" s="540"/>
      <c r="R1272" s="540"/>
      <c r="S1272" s="540"/>
      <c r="T1272" s="540"/>
      <c r="U1272" s="540"/>
      <c r="V1272" s="540"/>
      <c r="W1272" s="540"/>
      <c r="X1272" s="540"/>
      <c r="Y1272" s="540"/>
      <c r="Z1272" s="540"/>
    </row>
    <row r="1273" spans="1:26" ht="19">
      <c r="A1273" s="631"/>
      <c r="B1273" s="631"/>
      <c r="C1273" s="631"/>
      <c r="D1273" s="832"/>
      <c r="E1273" s="631"/>
      <c r="F1273" s="631"/>
      <c r="G1273" s="631"/>
      <c r="H1273" s="833"/>
      <c r="I1273" s="834"/>
      <c r="J1273" s="834"/>
      <c r="K1273" s="835"/>
      <c r="L1273" s="835"/>
      <c r="M1273" s="835"/>
      <c r="N1273" s="835"/>
      <c r="O1273" s="835"/>
      <c r="P1273" s="835"/>
      <c r="Q1273" s="540"/>
      <c r="R1273" s="540"/>
      <c r="S1273" s="540"/>
      <c r="T1273" s="540"/>
      <c r="U1273" s="540"/>
      <c r="V1273" s="540"/>
      <c r="W1273" s="540"/>
      <c r="X1273" s="540"/>
      <c r="Y1273" s="540"/>
      <c r="Z1273" s="540"/>
    </row>
    <row r="1274" spans="1:26" ht="19">
      <c r="A1274" s="631"/>
      <c r="B1274" s="631"/>
      <c r="C1274" s="631"/>
      <c r="D1274" s="832"/>
      <c r="E1274" s="631"/>
      <c r="F1274" s="631"/>
      <c r="G1274" s="631"/>
      <c r="H1274" s="833"/>
      <c r="I1274" s="834"/>
      <c r="J1274" s="834"/>
      <c r="K1274" s="835"/>
      <c r="L1274" s="835"/>
      <c r="M1274" s="835"/>
      <c r="N1274" s="835"/>
      <c r="O1274" s="835"/>
      <c r="P1274" s="835"/>
      <c r="Q1274" s="540"/>
      <c r="R1274" s="540"/>
      <c r="S1274" s="540"/>
      <c r="T1274" s="540"/>
      <c r="U1274" s="540"/>
      <c r="V1274" s="540"/>
      <c r="W1274" s="540"/>
      <c r="X1274" s="540"/>
      <c r="Y1274" s="540"/>
      <c r="Z1274" s="540"/>
    </row>
    <row r="1275" spans="1:26" ht="19">
      <c r="A1275" s="631"/>
      <c r="B1275" s="631"/>
      <c r="C1275" s="631"/>
      <c r="D1275" s="832"/>
      <c r="E1275" s="631"/>
      <c r="F1275" s="631"/>
      <c r="G1275" s="631"/>
      <c r="H1275" s="833"/>
      <c r="I1275" s="834"/>
      <c r="J1275" s="834"/>
      <c r="K1275" s="835"/>
      <c r="L1275" s="835"/>
      <c r="M1275" s="835"/>
      <c r="N1275" s="835"/>
      <c r="O1275" s="835"/>
      <c r="P1275" s="835"/>
      <c r="Q1275" s="540"/>
      <c r="R1275" s="540"/>
      <c r="S1275" s="540"/>
      <c r="T1275" s="540"/>
      <c r="U1275" s="540"/>
      <c r="V1275" s="540"/>
      <c r="W1275" s="540"/>
      <c r="X1275" s="540"/>
      <c r="Y1275" s="540"/>
      <c r="Z1275" s="540"/>
    </row>
    <row r="1276" spans="1:26" ht="19">
      <c r="A1276" s="631"/>
      <c r="B1276" s="631"/>
      <c r="C1276" s="631"/>
      <c r="D1276" s="832"/>
      <c r="E1276" s="631"/>
      <c r="F1276" s="631"/>
      <c r="G1276" s="631"/>
      <c r="H1276" s="833"/>
      <c r="I1276" s="834"/>
      <c r="J1276" s="834"/>
      <c r="K1276" s="835"/>
      <c r="L1276" s="835"/>
      <c r="M1276" s="835"/>
      <c r="N1276" s="835"/>
      <c r="O1276" s="835"/>
      <c r="P1276" s="835"/>
      <c r="Q1276" s="540"/>
      <c r="R1276" s="540"/>
      <c r="S1276" s="540"/>
      <c r="T1276" s="540"/>
      <c r="U1276" s="540"/>
      <c r="V1276" s="540"/>
      <c r="W1276" s="540"/>
      <c r="X1276" s="540"/>
      <c r="Y1276" s="540"/>
      <c r="Z1276" s="540"/>
    </row>
    <row r="1277" spans="1:26" ht="19">
      <c r="A1277" s="631"/>
      <c r="B1277" s="631"/>
      <c r="C1277" s="631"/>
      <c r="D1277" s="832"/>
      <c r="E1277" s="631"/>
      <c r="F1277" s="631"/>
      <c r="G1277" s="631"/>
      <c r="H1277" s="833"/>
      <c r="I1277" s="834"/>
      <c r="J1277" s="834"/>
      <c r="K1277" s="835"/>
      <c r="L1277" s="835"/>
      <c r="M1277" s="835"/>
      <c r="N1277" s="835"/>
      <c r="O1277" s="835"/>
      <c r="P1277" s="835"/>
      <c r="Q1277" s="540"/>
      <c r="R1277" s="540"/>
      <c r="S1277" s="540"/>
      <c r="T1277" s="540"/>
      <c r="U1277" s="540"/>
      <c r="V1277" s="540"/>
      <c r="W1277" s="540"/>
      <c r="X1277" s="540"/>
      <c r="Y1277" s="540"/>
      <c r="Z1277" s="540"/>
    </row>
    <row r="1278" spans="1:26" ht="19">
      <c r="A1278" s="631"/>
      <c r="B1278" s="631"/>
      <c r="C1278" s="631"/>
      <c r="D1278" s="832"/>
      <c r="E1278" s="631"/>
      <c r="F1278" s="631"/>
      <c r="G1278" s="631"/>
      <c r="H1278" s="833"/>
      <c r="I1278" s="834"/>
      <c r="J1278" s="834"/>
      <c r="K1278" s="835"/>
      <c r="L1278" s="835"/>
      <c r="M1278" s="835"/>
      <c r="N1278" s="835"/>
      <c r="O1278" s="835"/>
      <c r="P1278" s="835"/>
      <c r="Q1278" s="540"/>
      <c r="R1278" s="540"/>
      <c r="S1278" s="540"/>
      <c r="T1278" s="540"/>
      <c r="U1278" s="540"/>
      <c r="V1278" s="540"/>
      <c r="W1278" s="540"/>
      <c r="X1278" s="540"/>
      <c r="Y1278" s="540"/>
      <c r="Z1278" s="540"/>
    </row>
    <row r="1279" spans="1:26" ht="19">
      <c r="A1279" s="631"/>
      <c r="B1279" s="631"/>
      <c r="C1279" s="631"/>
      <c r="D1279" s="832"/>
      <c r="E1279" s="631"/>
      <c r="F1279" s="631"/>
      <c r="G1279" s="631"/>
      <c r="H1279" s="833"/>
      <c r="I1279" s="834"/>
      <c r="J1279" s="834"/>
      <c r="K1279" s="835"/>
      <c r="L1279" s="835"/>
      <c r="M1279" s="835"/>
      <c r="N1279" s="835"/>
      <c r="O1279" s="835"/>
      <c r="P1279" s="835"/>
      <c r="Q1279" s="540"/>
      <c r="R1279" s="540"/>
      <c r="S1279" s="540"/>
      <c r="T1279" s="540"/>
      <c r="U1279" s="540"/>
      <c r="V1279" s="540"/>
      <c r="W1279" s="540"/>
      <c r="X1279" s="540"/>
      <c r="Y1279" s="540"/>
      <c r="Z1279" s="540"/>
    </row>
    <row r="1280" spans="1:26" ht="19">
      <c r="A1280" s="631"/>
      <c r="B1280" s="631"/>
      <c r="C1280" s="631"/>
      <c r="D1280" s="832"/>
      <c r="E1280" s="631"/>
      <c r="F1280" s="631"/>
      <c r="G1280" s="631"/>
      <c r="H1280" s="833"/>
      <c r="I1280" s="834"/>
      <c r="J1280" s="834"/>
      <c r="K1280" s="835"/>
      <c r="L1280" s="835"/>
      <c r="M1280" s="835"/>
      <c r="N1280" s="835"/>
      <c r="O1280" s="835"/>
      <c r="P1280" s="835"/>
      <c r="Q1280" s="540"/>
      <c r="R1280" s="540"/>
      <c r="S1280" s="540"/>
      <c r="T1280" s="540"/>
      <c r="U1280" s="540"/>
      <c r="V1280" s="540"/>
      <c r="W1280" s="540"/>
      <c r="X1280" s="540"/>
      <c r="Y1280" s="540"/>
      <c r="Z1280" s="540"/>
    </row>
    <row r="1281" spans="1:26" ht="19">
      <c r="A1281" s="631"/>
      <c r="B1281" s="631"/>
      <c r="C1281" s="631"/>
      <c r="D1281" s="832"/>
      <c r="E1281" s="631"/>
      <c r="F1281" s="631"/>
      <c r="G1281" s="631"/>
      <c r="H1281" s="833"/>
      <c r="I1281" s="834"/>
      <c r="J1281" s="834"/>
      <c r="K1281" s="835"/>
      <c r="L1281" s="835"/>
      <c r="M1281" s="835"/>
      <c r="N1281" s="835"/>
      <c r="O1281" s="835"/>
      <c r="P1281" s="835"/>
      <c r="Q1281" s="540"/>
      <c r="R1281" s="540"/>
      <c r="S1281" s="540"/>
      <c r="T1281" s="540"/>
      <c r="U1281" s="540"/>
      <c r="V1281" s="540"/>
      <c r="W1281" s="540"/>
      <c r="X1281" s="540"/>
      <c r="Y1281" s="540"/>
      <c r="Z1281" s="540"/>
    </row>
    <row r="1282" spans="1:26" ht="19">
      <c r="A1282" s="631"/>
      <c r="B1282" s="631"/>
      <c r="C1282" s="631"/>
      <c r="D1282" s="832"/>
      <c r="E1282" s="631"/>
      <c r="F1282" s="631"/>
      <c r="G1282" s="631"/>
      <c r="H1282" s="833"/>
      <c r="I1282" s="834"/>
      <c r="J1282" s="834"/>
      <c r="K1282" s="835"/>
      <c r="L1282" s="835"/>
      <c r="M1282" s="835"/>
      <c r="N1282" s="835"/>
      <c r="O1282" s="835"/>
      <c r="P1282" s="835"/>
      <c r="Q1282" s="540"/>
      <c r="R1282" s="540"/>
      <c r="S1282" s="540"/>
      <c r="T1282" s="540"/>
      <c r="U1282" s="540"/>
      <c r="V1282" s="540"/>
      <c r="W1282" s="540"/>
      <c r="X1282" s="540"/>
      <c r="Y1282" s="540"/>
      <c r="Z1282" s="540"/>
    </row>
    <row r="1283" spans="1:26" ht="19">
      <c r="A1283" s="631"/>
      <c r="B1283" s="631"/>
      <c r="C1283" s="631"/>
      <c r="D1283" s="832"/>
      <c r="E1283" s="631"/>
      <c r="F1283" s="631"/>
      <c r="G1283" s="631"/>
      <c r="H1283" s="833"/>
      <c r="I1283" s="834"/>
      <c r="J1283" s="834"/>
      <c r="K1283" s="835"/>
      <c r="L1283" s="835"/>
      <c r="M1283" s="835"/>
      <c r="N1283" s="835"/>
      <c r="O1283" s="835"/>
      <c r="P1283" s="835"/>
      <c r="Q1283" s="540"/>
      <c r="R1283" s="540"/>
      <c r="S1283" s="540"/>
      <c r="T1283" s="540"/>
      <c r="U1283" s="540"/>
      <c r="V1283" s="540"/>
      <c r="W1283" s="540"/>
      <c r="X1283" s="540"/>
      <c r="Y1283" s="540"/>
      <c r="Z1283" s="540"/>
    </row>
    <row r="1284" spans="1:26" ht="19">
      <c r="A1284" s="631"/>
      <c r="B1284" s="631"/>
      <c r="C1284" s="631"/>
      <c r="D1284" s="832"/>
      <c r="E1284" s="631"/>
      <c r="F1284" s="631"/>
      <c r="G1284" s="631"/>
      <c r="H1284" s="833"/>
      <c r="I1284" s="834"/>
      <c r="J1284" s="834"/>
      <c r="K1284" s="835"/>
      <c r="L1284" s="835"/>
      <c r="M1284" s="835"/>
      <c r="N1284" s="835"/>
      <c r="O1284" s="835"/>
      <c r="P1284" s="835"/>
      <c r="Q1284" s="540"/>
      <c r="R1284" s="540"/>
      <c r="S1284" s="540"/>
      <c r="T1284" s="540"/>
      <c r="U1284" s="540"/>
      <c r="V1284" s="540"/>
      <c r="W1284" s="540"/>
      <c r="X1284" s="540"/>
      <c r="Y1284" s="540"/>
      <c r="Z1284" s="540"/>
    </row>
    <row r="1285" spans="1:26" ht="19">
      <c r="A1285" s="631"/>
      <c r="B1285" s="631"/>
      <c r="C1285" s="631"/>
      <c r="D1285" s="832"/>
      <c r="E1285" s="631"/>
      <c r="F1285" s="631"/>
      <c r="G1285" s="631"/>
      <c r="H1285" s="833"/>
      <c r="I1285" s="834"/>
      <c r="J1285" s="834"/>
      <c r="K1285" s="835"/>
      <c r="L1285" s="835"/>
      <c r="M1285" s="835"/>
      <c r="N1285" s="835"/>
      <c r="O1285" s="835"/>
      <c r="P1285" s="835"/>
      <c r="Q1285" s="540"/>
      <c r="R1285" s="540"/>
      <c r="S1285" s="540"/>
      <c r="T1285" s="540"/>
      <c r="U1285" s="540"/>
      <c r="V1285" s="540"/>
      <c r="W1285" s="540"/>
      <c r="X1285" s="540"/>
      <c r="Y1285" s="540"/>
      <c r="Z1285" s="540"/>
    </row>
    <row r="1286" spans="1:26" ht="19">
      <c r="A1286" s="631"/>
      <c r="B1286" s="631"/>
      <c r="C1286" s="631"/>
      <c r="D1286" s="832"/>
      <c r="E1286" s="631"/>
      <c r="F1286" s="631"/>
      <c r="G1286" s="631"/>
      <c r="H1286" s="833"/>
      <c r="I1286" s="834"/>
      <c r="J1286" s="834"/>
      <c r="K1286" s="835"/>
      <c r="L1286" s="835"/>
      <c r="M1286" s="835"/>
      <c r="N1286" s="835"/>
      <c r="O1286" s="835"/>
      <c r="P1286" s="835"/>
      <c r="Q1286" s="540"/>
      <c r="R1286" s="540"/>
      <c r="S1286" s="540"/>
      <c r="T1286" s="540"/>
      <c r="U1286" s="540"/>
      <c r="V1286" s="540"/>
      <c r="W1286" s="540"/>
      <c r="X1286" s="540"/>
      <c r="Y1286" s="540"/>
      <c r="Z1286" s="540"/>
    </row>
    <row r="1287" spans="1:26" ht="19">
      <c r="A1287" s="631"/>
      <c r="B1287" s="631"/>
      <c r="C1287" s="631"/>
      <c r="D1287" s="832"/>
      <c r="E1287" s="631"/>
      <c r="F1287" s="631"/>
      <c r="G1287" s="631"/>
      <c r="H1287" s="833"/>
      <c r="I1287" s="834"/>
      <c r="J1287" s="834"/>
      <c r="K1287" s="835"/>
      <c r="L1287" s="835"/>
      <c r="M1287" s="835"/>
      <c r="N1287" s="835"/>
      <c r="O1287" s="835"/>
      <c r="P1287" s="835"/>
      <c r="Q1287" s="540"/>
      <c r="R1287" s="540"/>
      <c r="S1287" s="540"/>
      <c r="T1287" s="540"/>
      <c r="U1287" s="540"/>
      <c r="V1287" s="540"/>
      <c r="W1287" s="540"/>
      <c r="X1287" s="540"/>
      <c r="Y1287" s="540"/>
      <c r="Z1287" s="540"/>
    </row>
    <row r="1288" spans="1:26" ht="19">
      <c r="A1288" s="631"/>
      <c r="B1288" s="631"/>
      <c r="C1288" s="631"/>
      <c r="D1288" s="832"/>
      <c r="E1288" s="631"/>
      <c r="F1288" s="631"/>
      <c r="G1288" s="631"/>
      <c r="H1288" s="833"/>
      <c r="I1288" s="834"/>
      <c r="J1288" s="834"/>
      <c r="K1288" s="835"/>
      <c r="L1288" s="835"/>
      <c r="M1288" s="835"/>
      <c r="N1288" s="835"/>
      <c r="O1288" s="835"/>
      <c r="P1288" s="835"/>
      <c r="Q1288" s="540"/>
      <c r="R1288" s="540"/>
      <c r="S1288" s="540"/>
      <c r="T1288" s="540"/>
      <c r="U1288" s="540"/>
      <c r="V1288" s="540"/>
      <c r="W1288" s="540"/>
      <c r="X1288" s="540"/>
      <c r="Y1288" s="540"/>
      <c r="Z1288" s="540"/>
    </row>
    <row r="1289" spans="1:26" ht="19">
      <c r="A1289" s="631"/>
      <c r="B1289" s="631"/>
      <c r="C1289" s="631"/>
      <c r="D1289" s="832"/>
      <c r="E1289" s="631"/>
      <c r="F1289" s="631"/>
      <c r="G1289" s="631"/>
      <c r="H1289" s="833"/>
      <c r="I1289" s="834"/>
      <c r="J1289" s="834"/>
      <c r="K1289" s="835"/>
      <c r="L1289" s="835"/>
      <c r="M1289" s="835"/>
      <c r="N1289" s="835"/>
      <c r="O1289" s="835"/>
      <c r="P1289" s="835"/>
      <c r="Q1289" s="540"/>
      <c r="R1289" s="540"/>
      <c r="S1289" s="540"/>
      <c r="T1289" s="540"/>
      <c r="U1289" s="540"/>
      <c r="V1289" s="540"/>
      <c r="W1289" s="540"/>
      <c r="X1289" s="540"/>
      <c r="Y1289" s="540"/>
      <c r="Z1289" s="540"/>
    </row>
    <row r="1290" spans="1:26" ht="19">
      <c r="A1290" s="631"/>
      <c r="B1290" s="631"/>
      <c r="C1290" s="631"/>
      <c r="D1290" s="832"/>
      <c r="E1290" s="631"/>
      <c r="F1290" s="631"/>
      <c r="G1290" s="631"/>
      <c r="H1290" s="833"/>
      <c r="I1290" s="834"/>
      <c r="J1290" s="834"/>
      <c r="K1290" s="835"/>
      <c r="L1290" s="835"/>
      <c r="M1290" s="835"/>
      <c r="N1290" s="835"/>
      <c r="O1290" s="835"/>
      <c r="P1290" s="835"/>
      <c r="Q1290" s="540"/>
      <c r="R1290" s="540"/>
      <c r="S1290" s="540"/>
      <c r="T1290" s="540"/>
      <c r="U1290" s="540"/>
      <c r="V1290" s="540"/>
      <c r="W1290" s="540"/>
      <c r="X1290" s="540"/>
      <c r="Y1290" s="540"/>
      <c r="Z1290" s="540"/>
    </row>
    <row r="1291" spans="1:26" ht="19">
      <c r="A1291" s="631"/>
      <c r="B1291" s="631"/>
      <c r="C1291" s="631"/>
      <c r="D1291" s="832"/>
      <c r="E1291" s="631"/>
      <c r="F1291" s="631"/>
      <c r="G1291" s="631"/>
      <c r="H1291" s="833"/>
      <c r="I1291" s="834"/>
      <c r="J1291" s="834"/>
      <c r="K1291" s="835"/>
      <c r="L1291" s="835"/>
      <c r="M1291" s="835"/>
      <c r="N1291" s="835"/>
      <c r="O1291" s="835"/>
      <c r="P1291" s="835"/>
      <c r="Q1291" s="540"/>
      <c r="R1291" s="540"/>
      <c r="S1291" s="540"/>
      <c r="T1291" s="540"/>
      <c r="U1291" s="540"/>
      <c r="V1291" s="540"/>
      <c r="W1291" s="540"/>
      <c r="X1291" s="540"/>
      <c r="Y1291" s="540"/>
      <c r="Z1291" s="540"/>
    </row>
    <row r="1292" spans="1:26" ht="19">
      <c r="A1292" s="631"/>
      <c r="B1292" s="631"/>
      <c r="C1292" s="631"/>
      <c r="D1292" s="832"/>
      <c r="E1292" s="631"/>
      <c r="F1292" s="631"/>
      <c r="G1292" s="631"/>
      <c r="H1292" s="833"/>
      <c r="I1292" s="834"/>
      <c r="J1292" s="834"/>
      <c r="K1292" s="835"/>
      <c r="L1292" s="835"/>
      <c r="M1292" s="835"/>
      <c r="N1292" s="835"/>
      <c r="O1292" s="835"/>
      <c r="P1292" s="835"/>
      <c r="Q1292" s="540"/>
      <c r="R1292" s="540"/>
      <c r="S1292" s="540"/>
      <c r="T1292" s="540"/>
      <c r="U1292" s="540"/>
      <c r="V1292" s="540"/>
      <c r="W1292" s="540"/>
      <c r="X1292" s="540"/>
      <c r="Y1292" s="540"/>
      <c r="Z1292" s="540"/>
    </row>
    <row r="1293" spans="1:26" ht="19">
      <c r="A1293" s="631"/>
      <c r="B1293" s="631"/>
      <c r="C1293" s="631"/>
      <c r="D1293" s="832"/>
      <c r="E1293" s="631"/>
      <c r="F1293" s="631"/>
      <c r="G1293" s="631"/>
      <c r="H1293" s="833"/>
      <c r="I1293" s="834"/>
      <c r="J1293" s="834"/>
      <c r="K1293" s="835"/>
      <c r="L1293" s="835"/>
      <c r="M1293" s="835"/>
      <c r="N1293" s="835"/>
      <c r="O1293" s="835"/>
      <c r="P1293" s="835"/>
      <c r="Q1293" s="540"/>
      <c r="R1293" s="540"/>
      <c r="S1293" s="540"/>
      <c r="T1293" s="540"/>
      <c r="U1293" s="540"/>
      <c r="V1293" s="540"/>
      <c r="W1293" s="540"/>
      <c r="X1293" s="540"/>
      <c r="Y1293" s="540"/>
      <c r="Z1293" s="540"/>
    </row>
    <row r="1294" spans="1:26" ht="19">
      <c r="A1294" s="631"/>
      <c r="B1294" s="631"/>
      <c r="C1294" s="631"/>
      <c r="D1294" s="832"/>
      <c r="E1294" s="631"/>
      <c r="F1294" s="631"/>
      <c r="G1294" s="631"/>
      <c r="H1294" s="833"/>
      <c r="I1294" s="834"/>
      <c r="J1294" s="834"/>
      <c r="K1294" s="835"/>
      <c r="L1294" s="835"/>
      <c r="M1294" s="835"/>
      <c r="N1294" s="835"/>
      <c r="O1294" s="835"/>
      <c r="P1294" s="835"/>
      <c r="Q1294" s="540"/>
      <c r="R1294" s="540"/>
      <c r="S1294" s="540"/>
      <c r="T1294" s="540"/>
      <c r="U1294" s="540"/>
      <c r="V1294" s="540"/>
      <c r="W1294" s="540"/>
      <c r="X1294" s="540"/>
      <c r="Y1294" s="540"/>
      <c r="Z1294" s="540"/>
    </row>
    <row r="1295" spans="1:26" ht="19">
      <c r="A1295" s="631"/>
      <c r="B1295" s="631"/>
      <c r="C1295" s="631"/>
      <c r="D1295" s="832"/>
      <c r="E1295" s="631"/>
      <c r="F1295" s="631"/>
      <c r="G1295" s="631"/>
      <c r="H1295" s="833"/>
      <c r="I1295" s="834"/>
      <c r="J1295" s="834"/>
      <c r="K1295" s="835"/>
      <c r="L1295" s="835"/>
      <c r="M1295" s="835"/>
      <c r="N1295" s="835"/>
      <c r="O1295" s="835"/>
      <c r="P1295" s="835"/>
      <c r="Q1295" s="540"/>
      <c r="R1295" s="540"/>
      <c r="S1295" s="540"/>
      <c r="T1295" s="540"/>
      <c r="U1295" s="540"/>
      <c r="V1295" s="540"/>
      <c r="W1295" s="540"/>
      <c r="X1295" s="540"/>
      <c r="Y1295" s="540"/>
      <c r="Z1295" s="540"/>
    </row>
    <row r="1296" spans="1:26" ht="19">
      <c r="A1296" s="631"/>
      <c r="B1296" s="631"/>
      <c r="C1296" s="631"/>
      <c r="D1296" s="832"/>
      <c r="E1296" s="631"/>
      <c r="F1296" s="631"/>
      <c r="G1296" s="631"/>
      <c r="H1296" s="833"/>
      <c r="I1296" s="834"/>
      <c r="J1296" s="834"/>
      <c r="K1296" s="835"/>
      <c r="L1296" s="835"/>
      <c r="M1296" s="835"/>
      <c r="N1296" s="835"/>
      <c r="O1296" s="835"/>
      <c r="P1296" s="835"/>
      <c r="Q1296" s="540"/>
      <c r="R1296" s="540"/>
      <c r="S1296" s="540"/>
      <c r="T1296" s="540"/>
      <c r="U1296" s="540"/>
      <c r="V1296" s="540"/>
      <c r="W1296" s="540"/>
      <c r="X1296" s="540"/>
      <c r="Y1296" s="540"/>
      <c r="Z1296" s="540"/>
    </row>
    <row r="1297" spans="1:26" ht="19">
      <c r="A1297" s="631"/>
      <c r="B1297" s="631"/>
      <c r="C1297" s="631"/>
      <c r="D1297" s="832"/>
      <c r="E1297" s="631"/>
      <c r="F1297" s="631"/>
      <c r="G1297" s="631"/>
      <c r="H1297" s="833"/>
      <c r="I1297" s="834"/>
      <c r="J1297" s="834"/>
      <c r="K1297" s="835"/>
      <c r="L1297" s="835"/>
      <c r="M1297" s="835"/>
      <c r="N1297" s="835"/>
      <c r="O1297" s="835"/>
      <c r="P1297" s="835"/>
      <c r="Q1297" s="540"/>
      <c r="R1297" s="540"/>
      <c r="S1297" s="540"/>
      <c r="T1297" s="540"/>
      <c r="U1297" s="540"/>
      <c r="V1297" s="540"/>
      <c r="W1297" s="540"/>
      <c r="X1297" s="540"/>
      <c r="Y1297" s="540"/>
      <c r="Z1297" s="540"/>
    </row>
    <row r="1298" spans="1:26" ht="19">
      <c r="A1298" s="631"/>
      <c r="B1298" s="631"/>
      <c r="C1298" s="631"/>
      <c r="D1298" s="832"/>
      <c r="E1298" s="631"/>
      <c r="F1298" s="631"/>
      <c r="G1298" s="631"/>
      <c r="H1298" s="833"/>
      <c r="I1298" s="834"/>
      <c r="J1298" s="834"/>
      <c r="K1298" s="835"/>
      <c r="L1298" s="835"/>
      <c r="M1298" s="835"/>
      <c r="N1298" s="835"/>
      <c r="O1298" s="835"/>
      <c r="P1298" s="835"/>
      <c r="Q1298" s="540"/>
      <c r="R1298" s="540"/>
      <c r="S1298" s="540"/>
      <c r="T1298" s="540"/>
      <c r="U1298" s="540"/>
      <c r="V1298" s="540"/>
      <c r="W1298" s="540"/>
      <c r="X1298" s="540"/>
      <c r="Y1298" s="540"/>
      <c r="Z1298" s="540"/>
    </row>
    <row r="1299" spans="1:26" ht="19">
      <c r="A1299" s="631"/>
      <c r="B1299" s="631"/>
      <c r="C1299" s="631"/>
      <c r="D1299" s="832"/>
      <c r="E1299" s="631"/>
      <c r="F1299" s="631"/>
      <c r="G1299" s="631"/>
      <c r="H1299" s="833"/>
      <c r="I1299" s="834"/>
      <c r="J1299" s="834"/>
      <c r="K1299" s="835"/>
      <c r="L1299" s="835"/>
      <c r="M1299" s="835"/>
      <c r="N1299" s="835"/>
      <c r="O1299" s="835"/>
      <c r="P1299" s="835"/>
      <c r="Q1299" s="540"/>
      <c r="R1299" s="540"/>
      <c r="S1299" s="540"/>
      <c r="T1299" s="540"/>
      <c r="U1299" s="540"/>
      <c r="V1299" s="540"/>
      <c r="W1299" s="540"/>
      <c r="X1299" s="540"/>
      <c r="Y1299" s="540"/>
      <c r="Z1299" s="540"/>
    </row>
    <row r="1300" spans="1:26" ht="19">
      <c r="A1300" s="631"/>
      <c r="B1300" s="631"/>
      <c r="C1300" s="631"/>
      <c r="D1300" s="832"/>
      <c r="E1300" s="631"/>
      <c r="F1300" s="631"/>
      <c r="G1300" s="631"/>
      <c r="H1300" s="833"/>
      <c r="I1300" s="834"/>
      <c r="J1300" s="834"/>
      <c r="K1300" s="835"/>
      <c r="L1300" s="835"/>
      <c r="M1300" s="835"/>
      <c r="N1300" s="835"/>
      <c r="O1300" s="835"/>
      <c r="P1300" s="835"/>
      <c r="Q1300" s="540"/>
      <c r="R1300" s="540"/>
      <c r="S1300" s="540"/>
      <c r="T1300" s="540"/>
      <c r="U1300" s="540"/>
      <c r="V1300" s="540"/>
      <c r="W1300" s="540"/>
      <c r="X1300" s="540"/>
      <c r="Y1300" s="540"/>
      <c r="Z1300" s="540"/>
    </row>
    <row r="1301" spans="1:26" ht="19">
      <c r="A1301" s="631"/>
      <c r="B1301" s="631"/>
      <c r="C1301" s="631"/>
      <c r="D1301" s="832"/>
      <c r="E1301" s="631"/>
      <c r="F1301" s="631"/>
      <c r="G1301" s="631"/>
      <c r="H1301" s="833"/>
      <c r="I1301" s="834"/>
      <c r="J1301" s="834"/>
      <c r="K1301" s="835"/>
      <c r="L1301" s="835"/>
      <c r="M1301" s="835"/>
      <c r="N1301" s="835"/>
      <c r="O1301" s="835"/>
      <c r="P1301" s="835"/>
      <c r="Q1301" s="540"/>
      <c r="R1301" s="540"/>
      <c r="S1301" s="540"/>
      <c r="T1301" s="540"/>
      <c r="U1301" s="540"/>
      <c r="V1301" s="540"/>
      <c r="W1301" s="540"/>
      <c r="X1301" s="540"/>
      <c r="Y1301" s="540"/>
      <c r="Z1301" s="540"/>
    </row>
    <row r="1302" spans="1:26" ht="19">
      <c r="A1302" s="631"/>
      <c r="B1302" s="631"/>
      <c r="C1302" s="631"/>
      <c r="D1302" s="832"/>
      <c r="E1302" s="631"/>
      <c r="F1302" s="631"/>
      <c r="G1302" s="631"/>
      <c r="H1302" s="833"/>
      <c r="I1302" s="834"/>
      <c r="J1302" s="834"/>
      <c r="K1302" s="835"/>
      <c r="L1302" s="835"/>
      <c r="M1302" s="835"/>
      <c r="N1302" s="835"/>
      <c r="O1302" s="835"/>
      <c r="P1302" s="835"/>
      <c r="Q1302" s="540"/>
      <c r="R1302" s="540"/>
      <c r="S1302" s="540"/>
      <c r="T1302" s="540"/>
      <c r="U1302" s="540"/>
      <c r="V1302" s="540"/>
      <c r="W1302" s="540"/>
      <c r="X1302" s="540"/>
      <c r="Y1302" s="540"/>
      <c r="Z1302" s="540"/>
    </row>
    <row r="1303" spans="1:26" ht="19">
      <c r="A1303" s="631"/>
      <c r="B1303" s="631"/>
      <c r="C1303" s="631"/>
      <c r="D1303" s="832"/>
      <c r="E1303" s="631"/>
      <c r="F1303" s="631"/>
      <c r="G1303" s="631"/>
      <c r="H1303" s="833"/>
      <c r="I1303" s="834"/>
      <c r="J1303" s="834"/>
      <c r="K1303" s="835"/>
      <c r="L1303" s="835"/>
      <c r="M1303" s="835"/>
      <c r="N1303" s="835"/>
      <c r="O1303" s="835"/>
      <c r="P1303" s="835"/>
      <c r="Q1303" s="540"/>
      <c r="R1303" s="540"/>
      <c r="S1303" s="540"/>
      <c r="T1303" s="540"/>
      <c r="U1303" s="540"/>
      <c r="V1303" s="540"/>
      <c r="W1303" s="540"/>
      <c r="X1303" s="540"/>
      <c r="Y1303" s="540"/>
      <c r="Z1303" s="540"/>
    </row>
    <row r="1304" spans="1:26" ht="19">
      <c r="A1304" s="631"/>
      <c r="B1304" s="631"/>
      <c r="C1304" s="631"/>
      <c r="D1304" s="832"/>
      <c r="E1304" s="631"/>
      <c r="F1304" s="631"/>
      <c r="G1304" s="631"/>
      <c r="H1304" s="833"/>
      <c r="I1304" s="834"/>
      <c r="J1304" s="834"/>
      <c r="K1304" s="835"/>
      <c r="L1304" s="835"/>
      <c r="M1304" s="835"/>
      <c r="N1304" s="835"/>
      <c r="O1304" s="835"/>
      <c r="P1304" s="835"/>
      <c r="Q1304" s="540"/>
      <c r="R1304" s="540"/>
      <c r="S1304" s="540"/>
      <c r="T1304" s="540"/>
      <c r="U1304" s="540"/>
      <c r="V1304" s="540"/>
      <c r="W1304" s="540"/>
      <c r="X1304" s="540"/>
      <c r="Y1304" s="540"/>
      <c r="Z1304" s="540"/>
    </row>
    <row r="1305" spans="1:26" ht="19">
      <c r="A1305" s="631"/>
      <c r="B1305" s="631"/>
      <c r="C1305" s="631"/>
      <c r="D1305" s="832"/>
      <c r="E1305" s="631"/>
      <c r="F1305" s="631"/>
      <c r="G1305" s="631"/>
      <c r="H1305" s="833"/>
      <c r="I1305" s="834"/>
      <c r="J1305" s="834"/>
      <c r="K1305" s="835"/>
      <c r="L1305" s="835"/>
      <c r="M1305" s="835"/>
      <c r="N1305" s="835"/>
      <c r="O1305" s="835"/>
      <c r="P1305" s="835"/>
      <c r="Q1305" s="540"/>
      <c r="R1305" s="540"/>
      <c r="S1305" s="540"/>
      <c r="T1305" s="540"/>
      <c r="U1305" s="540"/>
      <c r="V1305" s="540"/>
      <c r="W1305" s="540"/>
      <c r="X1305" s="540"/>
      <c r="Y1305" s="540"/>
      <c r="Z1305" s="540"/>
    </row>
    <row r="1306" spans="1:26" ht="19">
      <c r="A1306" s="631"/>
      <c r="B1306" s="631"/>
      <c r="C1306" s="631"/>
      <c r="D1306" s="832"/>
      <c r="E1306" s="631"/>
      <c r="F1306" s="631"/>
      <c r="G1306" s="631"/>
      <c r="H1306" s="833"/>
      <c r="I1306" s="834"/>
      <c r="J1306" s="834"/>
      <c r="K1306" s="835"/>
      <c r="L1306" s="835"/>
      <c r="M1306" s="835"/>
      <c r="N1306" s="835"/>
      <c r="O1306" s="835"/>
      <c r="P1306" s="835"/>
      <c r="Q1306" s="540"/>
      <c r="R1306" s="540"/>
      <c r="S1306" s="540"/>
      <c r="T1306" s="540"/>
      <c r="U1306" s="540"/>
      <c r="V1306" s="540"/>
      <c r="W1306" s="540"/>
      <c r="X1306" s="540"/>
      <c r="Y1306" s="540"/>
      <c r="Z1306" s="540"/>
    </row>
    <row r="1307" spans="1:26" ht="19">
      <c r="A1307" s="631"/>
      <c r="B1307" s="631"/>
      <c r="C1307" s="631"/>
      <c r="D1307" s="832"/>
      <c r="E1307" s="631"/>
      <c r="F1307" s="631"/>
      <c r="G1307" s="631"/>
      <c r="H1307" s="833"/>
      <c r="I1307" s="834"/>
      <c r="J1307" s="834"/>
      <c r="K1307" s="835"/>
      <c r="L1307" s="835"/>
      <c r="M1307" s="835"/>
      <c r="N1307" s="835"/>
      <c r="O1307" s="835"/>
      <c r="P1307" s="835"/>
      <c r="Q1307" s="540"/>
      <c r="R1307" s="540"/>
      <c r="S1307" s="540"/>
      <c r="T1307" s="540"/>
      <c r="U1307" s="540"/>
      <c r="V1307" s="540"/>
      <c r="W1307" s="540"/>
      <c r="X1307" s="540"/>
      <c r="Y1307" s="540"/>
      <c r="Z1307" s="540"/>
    </row>
    <row r="1308" spans="1:26" ht="19">
      <c r="A1308" s="631"/>
      <c r="B1308" s="631"/>
      <c r="C1308" s="631"/>
      <c r="D1308" s="832"/>
      <c r="E1308" s="631"/>
      <c r="F1308" s="631"/>
      <c r="G1308" s="631"/>
      <c r="H1308" s="833"/>
      <c r="I1308" s="834"/>
      <c r="J1308" s="834"/>
      <c r="K1308" s="835"/>
      <c r="L1308" s="835"/>
      <c r="M1308" s="835"/>
      <c r="N1308" s="835"/>
      <c r="O1308" s="835"/>
      <c r="P1308" s="835"/>
      <c r="Q1308" s="540"/>
      <c r="R1308" s="540"/>
      <c r="S1308" s="540"/>
      <c r="T1308" s="540"/>
      <c r="U1308" s="540"/>
      <c r="V1308" s="540"/>
      <c r="W1308" s="540"/>
      <c r="X1308" s="540"/>
      <c r="Y1308" s="540"/>
      <c r="Z1308" s="540"/>
    </row>
    <row r="1309" spans="1:26" ht="19">
      <c r="A1309" s="631"/>
      <c r="B1309" s="631"/>
      <c r="C1309" s="631"/>
      <c r="D1309" s="832"/>
      <c r="E1309" s="631"/>
      <c r="F1309" s="631"/>
      <c r="G1309" s="631"/>
      <c r="H1309" s="833"/>
      <c r="I1309" s="834"/>
      <c r="J1309" s="834"/>
      <c r="K1309" s="835"/>
      <c r="L1309" s="835"/>
      <c r="M1309" s="835"/>
      <c r="N1309" s="835"/>
      <c r="O1309" s="835"/>
      <c r="P1309" s="835"/>
      <c r="Q1309" s="540"/>
      <c r="R1309" s="540"/>
      <c r="S1309" s="540"/>
      <c r="T1309" s="540"/>
      <c r="U1309" s="540"/>
      <c r="V1309" s="540"/>
      <c r="W1309" s="540"/>
      <c r="X1309" s="540"/>
      <c r="Y1309" s="540"/>
      <c r="Z1309" s="540"/>
    </row>
    <row r="1310" spans="1:26" ht="19">
      <c r="A1310" s="631"/>
      <c r="B1310" s="631"/>
      <c r="C1310" s="631"/>
      <c r="D1310" s="832"/>
      <c r="E1310" s="631"/>
      <c r="F1310" s="631"/>
      <c r="G1310" s="631"/>
      <c r="H1310" s="833"/>
      <c r="I1310" s="834"/>
      <c r="J1310" s="834"/>
      <c r="K1310" s="835"/>
      <c r="L1310" s="835"/>
      <c r="M1310" s="835"/>
      <c r="N1310" s="835"/>
      <c r="O1310" s="835"/>
      <c r="P1310" s="835"/>
      <c r="Q1310" s="540"/>
      <c r="R1310" s="540"/>
      <c r="S1310" s="540"/>
      <c r="T1310" s="540"/>
      <c r="U1310" s="540"/>
      <c r="V1310" s="540"/>
      <c r="W1310" s="540"/>
      <c r="X1310" s="540"/>
      <c r="Y1310" s="540"/>
      <c r="Z1310" s="540"/>
    </row>
    <row r="1311" spans="1:26" ht="19">
      <c r="A1311" s="631"/>
      <c r="B1311" s="631"/>
      <c r="C1311" s="631"/>
      <c r="D1311" s="832"/>
      <c r="E1311" s="631"/>
      <c r="F1311" s="631"/>
      <c r="G1311" s="631"/>
      <c r="H1311" s="833"/>
      <c r="I1311" s="834"/>
      <c r="J1311" s="834"/>
      <c r="K1311" s="835"/>
      <c r="L1311" s="835"/>
      <c r="M1311" s="835"/>
      <c r="N1311" s="835"/>
      <c r="O1311" s="835"/>
      <c r="P1311" s="835"/>
      <c r="Q1311" s="540"/>
      <c r="R1311" s="540"/>
      <c r="S1311" s="540"/>
      <c r="T1311" s="540"/>
      <c r="U1311" s="540"/>
      <c r="V1311" s="540"/>
      <c r="W1311" s="540"/>
      <c r="X1311" s="540"/>
      <c r="Y1311" s="540"/>
      <c r="Z1311" s="540"/>
    </row>
    <row r="1312" spans="1:26" ht="19">
      <c r="A1312" s="631"/>
      <c r="B1312" s="631"/>
      <c r="C1312" s="631"/>
      <c r="D1312" s="832"/>
      <c r="E1312" s="631"/>
      <c r="F1312" s="631"/>
      <c r="G1312" s="631"/>
      <c r="H1312" s="833"/>
      <c r="I1312" s="834"/>
      <c r="J1312" s="834"/>
      <c r="K1312" s="835"/>
      <c r="L1312" s="835"/>
      <c r="M1312" s="835"/>
      <c r="N1312" s="835"/>
      <c r="O1312" s="835"/>
      <c r="P1312" s="835"/>
      <c r="Q1312" s="540"/>
      <c r="R1312" s="540"/>
      <c r="S1312" s="540"/>
      <c r="T1312" s="540"/>
      <c r="U1312" s="540"/>
      <c r="V1312" s="540"/>
      <c r="W1312" s="540"/>
      <c r="X1312" s="540"/>
      <c r="Y1312" s="540"/>
      <c r="Z1312" s="540"/>
    </row>
    <row r="1313" spans="1:26" ht="19">
      <c r="A1313" s="631"/>
      <c r="B1313" s="631"/>
      <c r="C1313" s="631"/>
      <c r="D1313" s="832"/>
      <c r="E1313" s="631"/>
      <c r="F1313" s="631"/>
      <c r="G1313" s="631"/>
      <c r="H1313" s="833"/>
      <c r="I1313" s="834"/>
      <c r="J1313" s="834"/>
      <c r="K1313" s="835"/>
      <c r="L1313" s="835"/>
      <c r="M1313" s="835"/>
      <c r="N1313" s="835"/>
      <c r="O1313" s="835"/>
      <c r="P1313" s="835"/>
      <c r="Q1313" s="540"/>
      <c r="R1313" s="540"/>
      <c r="S1313" s="540"/>
      <c r="T1313" s="540"/>
      <c r="U1313" s="540"/>
      <c r="V1313" s="540"/>
      <c r="W1313" s="540"/>
      <c r="X1313" s="540"/>
      <c r="Y1313" s="540"/>
      <c r="Z1313" s="540"/>
    </row>
    <row r="1314" spans="1:26" ht="19">
      <c r="A1314" s="631"/>
      <c r="B1314" s="631"/>
      <c r="C1314" s="631"/>
      <c r="D1314" s="832"/>
      <c r="E1314" s="631"/>
      <c r="F1314" s="631"/>
      <c r="G1314" s="631"/>
      <c r="H1314" s="833"/>
      <c r="I1314" s="834"/>
      <c r="J1314" s="834"/>
      <c r="K1314" s="835"/>
      <c r="L1314" s="835"/>
      <c r="M1314" s="835"/>
      <c r="N1314" s="835"/>
      <c r="O1314" s="835"/>
      <c r="P1314" s="835"/>
      <c r="Q1314" s="540"/>
      <c r="R1314" s="540"/>
      <c r="S1314" s="540"/>
      <c r="T1314" s="540"/>
      <c r="U1314" s="540"/>
      <c r="V1314" s="540"/>
      <c r="W1314" s="540"/>
      <c r="X1314" s="540"/>
      <c r="Y1314" s="540"/>
      <c r="Z1314" s="540"/>
    </row>
    <row r="1315" spans="1:26" ht="19">
      <c r="A1315" s="631"/>
      <c r="B1315" s="631"/>
      <c r="C1315" s="631"/>
      <c r="D1315" s="832"/>
      <c r="E1315" s="631"/>
      <c r="F1315" s="631"/>
      <c r="G1315" s="631"/>
      <c r="H1315" s="833"/>
      <c r="I1315" s="834"/>
      <c r="J1315" s="834"/>
      <c r="K1315" s="835"/>
      <c r="L1315" s="835"/>
      <c r="M1315" s="835"/>
      <c r="N1315" s="835"/>
      <c r="O1315" s="835"/>
      <c r="P1315" s="835"/>
      <c r="Q1315" s="540"/>
      <c r="R1315" s="540"/>
      <c r="S1315" s="540"/>
      <c r="T1315" s="540"/>
      <c r="U1315" s="540"/>
      <c r="V1315" s="540"/>
      <c r="W1315" s="540"/>
      <c r="X1315" s="540"/>
      <c r="Y1315" s="540"/>
      <c r="Z1315" s="540"/>
    </row>
    <row r="1316" spans="1:26" ht="19">
      <c r="A1316" s="631"/>
      <c r="B1316" s="631"/>
      <c r="C1316" s="631"/>
      <c r="D1316" s="832"/>
      <c r="E1316" s="631"/>
      <c r="F1316" s="631"/>
      <c r="G1316" s="631"/>
      <c r="H1316" s="833"/>
      <c r="I1316" s="834"/>
      <c r="J1316" s="834"/>
      <c r="K1316" s="835"/>
      <c r="L1316" s="835"/>
      <c r="M1316" s="835"/>
      <c r="N1316" s="835"/>
      <c r="O1316" s="835"/>
      <c r="P1316" s="835"/>
      <c r="Q1316" s="540"/>
      <c r="R1316" s="540"/>
      <c r="S1316" s="540"/>
      <c r="T1316" s="540"/>
      <c r="U1316" s="540"/>
      <c r="V1316" s="540"/>
      <c r="W1316" s="540"/>
      <c r="X1316" s="540"/>
      <c r="Y1316" s="540"/>
      <c r="Z1316" s="540"/>
    </row>
    <row r="1317" spans="1:26" ht="19">
      <c r="A1317" s="631"/>
      <c r="B1317" s="631"/>
      <c r="C1317" s="631"/>
      <c r="D1317" s="832"/>
      <c r="E1317" s="631"/>
      <c r="F1317" s="631"/>
      <c r="G1317" s="631"/>
      <c r="H1317" s="833"/>
      <c r="I1317" s="834"/>
      <c r="J1317" s="834"/>
      <c r="K1317" s="835"/>
      <c r="L1317" s="835"/>
      <c r="M1317" s="835"/>
      <c r="N1317" s="835"/>
      <c r="O1317" s="835"/>
      <c r="P1317" s="835"/>
      <c r="Q1317" s="540"/>
      <c r="R1317" s="540"/>
      <c r="S1317" s="540"/>
      <c r="T1317" s="540"/>
      <c r="U1317" s="540"/>
      <c r="V1317" s="540"/>
      <c r="W1317" s="540"/>
      <c r="X1317" s="540"/>
      <c r="Y1317" s="540"/>
      <c r="Z1317" s="540"/>
    </row>
    <row r="1318" spans="1:26" ht="19">
      <c r="A1318" s="631"/>
      <c r="B1318" s="631"/>
      <c r="C1318" s="631"/>
      <c r="D1318" s="832"/>
      <c r="E1318" s="631"/>
      <c r="F1318" s="631"/>
      <c r="G1318" s="631"/>
      <c r="H1318" s="833"/>
      <c r="I1318" s="834"/>
      <c r="J1318" s="834"/>
      <c r="K1318" s="835"/>
      <c r="L1318" s="835"/>
      <c r="M1318" s="835"/>
      <c r="N1318" s="835"/>
      <c r="O1318" s="835"/>
      <c r="P1318" s="835"/>
      <c r="Q1318" s="540"/>
      <c r="R1318" s="540"/>
      <c r="S1318" s="540"/>
      <c r="T1318" s="540"/>
      <c r="U1318" s="540"/>
      <c r="V1318" s="540"/>
      <c r="W1318" s="540"/>
      <c r="X1318" s="540"/>
      <c r="Y1318" s="540"/>
      <c r="Z1318" s="540"/>
    </row>
    <row r="1319" spans="1:26" ht="19">
      <c r="A1319" s="631"/>
      <c r="B1319" s="631"/>
      <c r="C1319" s="631"/>
      <c r="D1319" s="832"/>
      <c r="E1319" s="631"/>
      <c r="F1319" s="631"/>
      <c r="G1319" s="631"/>
      <c r="H1319" s="833"/>
      <c r="I1319" s="834"/>
      <c r="J1319" s="834"/>
      <c r="K1319" s="835"/>
      <c r="L1319" s="835"/>
      <c r="M1319" s="835"/>
      <c r="N1319" s="835"/>
      <c r="O1319" s="835"/>
      <c r="P1319" s="835"/>
      <c r="Q1319" s="540"/>
      <c r="R1319" s="540"/>
      <c r="S1319" s="540"/>
      <c r="T1319" s="540"/>
      <c r="U1319" s="540"/>
      <c r="V1319" s="540"/>
      <c r="W1319" s="540"/>
      <c r="X1319" s="540"/>
      <c r="Y1319" s="540"/>
      <c r="Z1319" s="540"/>
    </row>
    <row r="1320" spans="1:26" ht="19">
      <c r="A1320" s="631"/>
      <c r="B1320" s="631"/>
      <c r="C1320" s="631"/>
      <c r="D1320" s="832"/>
      <c r="E1320" s="631"/>
      <c r="F1320" s="631"/>
      <c r="G1320" s="631"/>
      <c r="H1320" s="833"/>
      <c r="I1320" s="834"/>
      <c r="J1320" s="834"/>
      <c r="K1320" s="835"/>
      <c r="L1320" s="835"/>
      <c r="M1320" s="835"/>
      <c r="N1320" s="835"/>
      <c r="O1320" s="835"/>
      <c r="P1320" s="835"/>
      <c r="Q1320" s="540"/>
      <c r="R1320" s="540"/>
      <c r="S1320" s="540"/>
      <c r="T1320" s="540"/>
      <c r="U1320" s="540"/>
      <c r="V1320" s="540"/>
      <c r="W1320" s="540"/>
      <c r="X1320" s="540"/>
      <c r="Y1320" s="540"/>
      <c r="Z1320" s="540"/>
    </row>
    <row r="1321" spans="1:26" ht="19">
      <c r="A1321" s="631"/>
      <c r="B1321" s="631"/>
      <c r="C1321" s="631"/>
      <c r="D1321" s="832"/>
      <c r="E1321" s="631"/>
      <c r="F1321" s="631"/>
      <c r="G1321" s="631"/>
      <c r="H1321" s="833"/>
      <c r="I1321" s="834"/>
      <c r="J1321" s="834"/>
      <c r="K1321" s="835"/>
      <c r="L1321" s="835"/>
      <c r="M1321" s="835"/>
      <c r="N1321" s="835"/>
      <c r="O1321" s="835"/>
      <c r="P1321" s="835"/>
      <c r="Q1321" s="540"/>
      <c r="R1321" s="540"/>
      <c r="S1321" s="540"/>
      <c r="T1321" s="540"/>
      <c r="U1321" s="540"/>
      <c r="V1321" s="540"/>
      <c r="W1321" s="540"/>
      <c r="X1321" s="540"/>
      <c r="Y1321" s="540"/>
      <c r="Z1321" s="540"/>
    </row>
    <row r="1322" spans="1:26" ht="19">
      <c r="A1322" s="631"/>
      <c r="B1322" s="631"/>
      <c r="C1322" s="631"/>
      <c r="D1322" s="832"/>
      <c r="E1322" s="631"/>
      <c r="F1322" s="631"/>
      <c r="G1322" s="631"/>
      <c r="H1322" s="833"/>
      <c r="I1322" s="834"/>
      <c r="J1322" s="834"/>
      <c r="K1322" s="835"/>
      <c r="L1322" s="835"/>
      <c r="M1322" s="835"/>
      <c r="N1322" s="835"/>
      <c r="O1322" s="835"/>
      <c r="P1322" s="835"/>
      <c r="Q1322" s="540"/>
      <c r="R1322" s="540"/>
      <c r="S1322" s="540"/>
      <c r="T1322" s="540"/>
      <c r="U1322" s="540"/>
      <c r="V1322" s="540"/>
      <c r="W1322" s="540"/>
      <c r="X1322" s="540"/>
      <c r="Y1322" s="540"/>
      <c r="Z1322" s="540"/>
    </row>
    <row r="1323" spans="1:26" ht="19">
      <c r="A1323" s="631"/>
      <c r="B1323" s="631"/>
      <c r="C1323" s="631"/>
      <c r="D1323" s="832"/>
      <c r="E1323" s="631"/>
      <c r="F1323" s="631"/>
      <c r="G1323" s="631"/>
      <c r="H1323" s="833"/>
      <c r="I1323" s="834"/>
      <c r="J1323" s="834"/>
      <c r="K1323" s="835"/>
      <c r="L1323" s="835"/>
      <c r="M1323" s="835"/>
      <c r="N1323" s="835"/>
      <c r="O1323" s="835"/>
      <c r="P1323" s="835"/>
      <c r="Q1323" s="540"/>
      <c r="R1323" s="540"/>
      <c r="S1323" s="540"/>
      <c r="T1323" s="540"/>
      <c r="U1323" s="540"/>
      <c r="V1323" s="540"/>
      <c r="W1323" s="540"/>
      <c r="X1323" s="540"/>
      <c r="Y1323" s="540"/>
      <c r="Z1323" s="540"/>
    </row>
    <row r="1324" spans="1:26" ht="19">
      <c r="A1324" s="631"/>
      <c r="B1324" s="631"/>
      <c r="C1324" s="631"/>
      <c r="D1324" s="832"/>
      <c r="E1324" s="631"/>
      <c r="F1324" s="631"/>
      <c r="G1324" s="631"/>
      <c r="H1324" s="833"/>
      <c r="I1324" s="834"/>
      <c r="J1324" s="834"/>
      <c r="K1324" s="835"/>
      <c r="L1324" s="835"/>
      <c r="M1324" s="835"/>
      <c r="N1324" s="835"/>
      <c r="O1324" s="835"/>
      <c r="P1324" s="835"/>
      <c r="Q1324" s="540"/>
      <c r="R1324" s="540"/>
      <c r="S1324" s="540"/>
      <c r="T1324" s="540"/>
      <c r="U1324" s="540"/>
      <c r="V1324" s="540"/>
      <c r="W1324" s="540"/>
      <c r="X1324" s="540"/>
      <c r="Y1324" s="540"/>
      <c r="Z1324" s="540"/>
    </row>
    <row r="1325" spans="1:26" ht="19">
      <c r="A1325" s="631"/>
      <c r="B1325" s="631"/>
      <c r="C1325" s="631"/>
      <c r="D1325" s="832"/>
      <c r="E1325" s="631"/>
      <c r="F1325" s="631"/>
      <c r="G1325" s="631"/>
      <c r="H1325" s="833"/>
      <c r="I1325" s="834"/>
      <c r="J1325" s="834"/>
      <c r="K1325" s="835"/>
      <c r="L1325" s="835"/>
      <c r="M1325" s="835"/>
      <c r="N1325" s="835"/>
      <c r="O1325" s="835"/>
      <c r="P1325" s="835"/>
      <c r="Q1325" s="540"/>
      <c r="R1325" s="540"/>
      <c r="S1325" s="540"/>
      <c r="T1325" s="540"/>
      <c r="U1325" s="540"/>
      <c r="V1325" s="540"/>
      <c r="W1325" s="540"/>
      <c r="X1325" s="540"/>
      <c r="Y1325" s="540"/>
      <c r="Z1325" s="540"/>
    </row>
    <row r="1326" spans="1:26" ht="19">
      <c r="A1326" s="631"/>
      <c r="B1326" s="631"/>
      <c r="C1326" s="631"/>
      <c r="D1326" s="832"/>
      <c r="E1326" s="631"/>
      <c r="F1326" s="631"/>
      <c r="G1326" s="631"/>
      <c r="H1326" s="833"/>
      <c r="I1326" s="834"/>
      <c r="J1326" s="834"/>
      <c r="K1326" s="835"/>
      <c r="L1326" s="835"/>
      <c r="M1326" s="835"/>
      <c r="N1326" s="835"/>
      <c r="O1326" s="835"/>
      <c r="P1326" s="835"/>
      <c r="Q1326" s="540"/>
      <c r="R1326" s="540"/>
      <c r="S1326" s="540"/>
      <c r="T1326" s="540"/>
      <c r="U1326" s="540"/>
      <c r="V1326" s="540"/>
      <c r="W1326" s="540"/>
      <c r="X1326" s="540"/>
      <c r="Y1326" s="540"/>
      <c r="Z1326" s="540"/>
    </row>
    <row r="1327" spans="1:26" ht="19">
      <c r="A1327" s="631"/>
      <c r="B1327" s="631"/>
      <c r="C1327" s="631"/>
      <c r="D1327" s="832"/>
      <c r="E1327" s="631"/>
      <c r="F1327" s="631"/>
      <c r="G1327" s="631"/>
      <c r="H1327" s="833"/>
      <c r="I1327" s="834"/>
      <c r="J1327" s="834"/>
      <c r="K1327" s="835"/>
      <c r="L1327" s="835"/>
      <c r="M1327" s="835"/>
      <c r="N1327" s="835"/>
      <c r="O1327" s="835"/>
      <c r="P1327" s="835"/>
      <c r="Q1327" s="540"/>
      <c r="R1327" s="540"/>
      <c r="S1327" s="540"/>
      <c r="T1327" s="540"/>
      <c r="U1327" s="540"/>
      <c r="V1327" s="540"/>
      <c r="W1327" s="540"/>
      <c r="X1327" s="540"/>
      <c r="Y1327" s="540"/>
      <c r="Z1327" s="540"/>
    </row>
    <row r="1328" spans="1:26" ht="19">
      <c r="A1328" s="631"/>
      <c r="B1328" s="631"/>
      <c r="C1328" s="631"/>
      <c r="D1328" s="832"/>
      <c r="E1328" s="631"/>
      <c r="F1328" s="631"/>
      <c r="G1328" s="631"/>
      <c r="H1328" s="833"/>
      <c r="I1328" s="834"/>
      <c r="J1328" s="834"/>
      <c r="K1328" s="835"/>
      <c r="L1328" s="835"/>
      <c r="M1328" s="835"/>
      <c r="N1328" s="835"/>
      <c r="O1328" s="835"/>
      <c r="P1328" s="835"/>
      <c r="Q1328" s="540"/>
      <c r="R1328" s="540"/>
      <c r="S1328" s="540"/>
      <c r="T1328" s="540"/>
      <c r="U1328" s="540"/>
      <c r="V1328" s="540"/>
      <c r="W1328" s="540"/>
      <c r="X1328" s="540"/>
      <c r="Y1328" s="540"/>
      <c r="Z1328" s="540"/>
    </row>
    <row r="1329" spans="1:26" ht="19">
      <c r="A1329" s="631"/>
      <c r="B1329" s="631"/>
      <c r="C1329" s="631"/>
      <c r="D1329" s="832"/>
      <c r="E1329" s="631"/>
      <c r="F1329" s="631"/>
      <c r="G1329" s="631"/>
      <c r="H1329" s="833"/>
      <c r="I1329" s="834"/>
      <c r="J1329" s="834"/>
      <c r="K1329" s="835"/>
      <c r="L1329" s="835"/>
      <c r="M1329" s="835"/>
      <c r="N1329" s="835"/>
      <c r="O1329" s="835"/>
      <c r="P1329" s="835"/>
      <c r="Q1329" s="540"/>
      <c r="R1329" s="540"/>
      <c r="S1329" s="540"/>
      <c r="T1329" s="540"/>
      <c r="U1329" s="540"/>
      <c r="V1329" s="540"/>
      <c r="W1329" s="540"/>
      <c r="X1329" s="540"/>
      <c r="Y1329" s="540"/>
      <c r="Z1329" s="540"/>
    </row>
    <row r="1330" spans="1:26" ht="19">
      <c r="A1330" s="631"/>
      <c r="B1330" s="631"/>
      <c r="C1330" s="631"/>
      <c r="D1330" s="832"/>
      <c r="E1330" s="631"/>
      <c r="F1330" s="631"/>
      <c r="G1330" s="631"/>
      <c r="H1330" s="833"/>
      <c r="I1330" s="834"/>
      <c r="J1330" s="834"/>
      <c r="K1330" s="835"/>
      <c r="L1330" s="835"/>
      <c r="M1330" s="835"/>
      <c r="N1330" s="835"/>
      <c r="O1330" s="835"/>
      <c r="P1330" s="835"/>
      <c r="Q1330" s="540"/>
      <c r="R1330" s="540"/>
      <c r="S1330" s="540"/>
      <c r="T1330" s="540"/>
      <c r="U1330" s="540"/>
      <c r="V1330" s="540"/>
      <c r="W1330" s="540"/>
      <c r="X1330" s="540"/>
      <c r="Y1330" s="540"/>
      <c r="Z1330" s="540"/>
    </row>
    <row r="1331" spans="1:26" ht="19">
      <c r="A1331" s="631"/>
      <c r="B1331" s="631"/>
      <c r="C1331" s="631"/>
      <c r="D1331" s="832"/>
      <c r="E1331" s="631"/>
      <c r="F1331" s="631"/>
      <c r="G1331" s="631"/>
      <c r="H1331" s="833"/>
      <c r="I1331" s="834"/>
      <c r="J1331" s="834"/>
      <c r="K1331" s="835"/>
      <c r="L1331" s="835"/>
      <c r="M1331" s="835"/>
      <c r="N1331" s="835"/>
      <c r="O1331" s="835"/>
      <c r="P1331" s="835"/>
      <c r="Q1331" s="540"/>
      <c r="R1331" s="540"/>
      <c r="S1331" s="540"/>
      <c r="T1331" s="540"/>
      <c r="U1331" s="540"/>
      <c r="V1331" s="540"/>
      <c r="W1331" s="540"/>
      <c r="X1331" s="540"/>
      <c r="Y1331" s="540"/>
      <c r="Z1331" s="540"/>
    </row>
    <row r="1332" spans="1:26" ht="19">
      <c r="A1332" s="631"/>
      <c r="B1332" s="631"/>
      <c r="C1332" s="631"/>
      <c r="D1332" s="832"/>
      <c r="E1332" s="631"/>
      <c r="F1332" s="631"/>
      <c r="G1332" s="631"/>
      <c r="H1332" s="833"/>
      <c r="I1332" s="834"/>
      <c r="J1332" s="834"/>
      <c r="K1332" s="835"/>
      <c r="L1332" s="835"/>
      <c r="M1332" s="835"/>
      <c r="N1332" s="835"/>
      <c r="O1332" s="835"/>
      <c r="P1332" s="835"/>
      <c r="Q1332" s="540"/>
      <c r="R1332" s="540"/>
      <c r="S1332" s="540"/>
      <c r="T1332" s="540"/>
      <c r="U1332" s="540"/>
      <c r="V1332" s="540"/>
      <c r="W1332" s="540"/>
      <c r="X1332" s="540"/>
      <c r="Y1332" s="540"/>
      <c r="Z1332" s="540"/>
    </row>
    <row r="1333" spans="1:26" ht="19">
      <c r="A1333" s="631"/>
      <c r="B1333" s="631"/>
      <c r="C1333" s="631"/>
      <c r="D1333" s="832"/>
      <c r="E1333" s="631"/>
      <c r="F1333" s="631"/>
      <c r="G1333" s="631"/>
      <c r="H1333" s="833"/>
      <c r="I1333" s="834"/>
      <c r="J1333" s="834"/>
      <c r="K1333" s="835"/>
      <c r="L1333" s="835"/>
      <c r="M1333" s="835"/>
      <c r="N1333" s="835"/>
      <c r="O1333" s="835"/>
      <c r="P1333" s="835"/>
      <c r="Q1333" s="540"/>
      <c r="R1333" s="540"/>
      <c r="S1333" s="540"/>
      <c r="T1333" s="540"/>
      <c r="U1333" s="540"/>
      <c r="V1333" s="540"/>
      <c r="W1333" s="540"/>
      <c r="X1333" s="540"/>
      <c r="Y1333" s="540"/>
      <c r="Z1333" s="540"/>
    </row>
    <row r="1334" spans="1:26" ht="19">
      <c r="A1334" s="631"/>
      <c r="B1334" s="631"/>
      <c r="C1334" s="631"/>
      <c r="D1334" s="832"/>
      <c r="E1334" s="631"/>
      <c r="F1334" s="631"/>
      <c r="G1334" s="631"/>
      <c r="H1334" s="833"/>
      <c r="I1334" s="834"/>
      <c r="J1334" s="834"/>
      <c r="K1334" s="835"/>
      <c r="L1334" s="835"/>
      <c r="M1334" s="835"/>
      <c r="N1334" s="835"/>
      <c r="O1334" s="835"/>
      <c r="P1334" s="835"/>
      <c r="Q1334" s="540"/>
      <c r="R1334" s="540"/>
      <c r="S1334" s="540"/>
      <c r="T1334" s="540"/>
      <c r="U1334" s="540"/>
      <c r="V1334" s="540"/>
      <c r="W1334" s="540"/>
      <c r="X1334" s="540"/>
      <c r="Y1334" s="540"/>
      <c r="Z1334" s="540"/>
    </row>
    <row r="1335" spans="1:26" ht="19">
      <c r="A1335" s="631"/>
      <c r="B1335" s="631"/>
      <c r="C1335" s="631"/>
      <c r="D1335" s="832"/>
      <c r="E1335" s="631"/>
      <c r="F1335" s="631"/>
      <c r="G1335" s="631"/>
      <c r="H1335" s="833"/>
      <c r="I1335" s="834"/>
      <c r="J1335" s="834"/>
      <c r="K1335" s="835"/>
      <c r="L1335" s="835"/>
      <c r="M1335" s="835"/>
      <c r="N1335" s="835"/>
      <c r="O1335" s="835"/>
      <c r="P1335" s="835"/>
      <c r="Q1335" s="540"/>
      <c r="R1335" s="540"/>
      <c r="S1335" s="540"/>
      <c r="T1335" s="540"/>
      <c r="U1335" s="540"/>
      <c r="V1335" s="540"/>
      <c r="W1335" s="540"/>
      <c r="X1335" s="540"/>
      <c r="Y1335" s="540"/>
      <c r="Z1335" s="540"/>
    </row>
    <row r="1336" spans="1:26" ht="19">
      <c r="A1336" s="631"/>
      <c r="B1336" s="631"/>
      <c r="C1336" s="631"/>
      <c r="D1336" s="832"/>
      <c r="E1336" s="631"/>
      <c r="F1336" s="631"/>
      <c r="G1336" s="631"/>
      <c r="H1336" s="833"/>
      <c r="I1336" s="834"/>
      <c r="J1336" s="834"/>
      <c r="K1336" s="835"/>
      <c r="L1336" s="835"/>
      <c r="M1336" s="835"/>
      <c r="N1336" s="835"/>
      <c r="O1336" s="835"/>
      <c r="P1336" s="835"/>
      <c r="Q1336" s="540"/>
      <c r="R1336" s="540"/>
      <c r="S1336" s="540"/>
      <c r="T1336" s="540"/>
      <c r="U1336" s="540"/>
      <c r="V1336" s="540"/>
      <c r="W1336" s="540"/>
      <c r="X1336" s="540"/>
      <c r="Y1336" s="540"/>
      <c r="Z1336" s="540"/>
    </row>
    <row r="1337" spans="1:26" ht="19">
      <c r="A1337" s="631"/>
      <c r="B1337" s="631"/>
      <c r="C1337" s="631"/>
      <c r="D1337" s="832"/>
      <c r="E1337" s="631"/>
      <c r="F1337" s="631"/>
      <c r="G1337" s="631"/>
      <c r="H1337" s="833"/>
      <c r="I1337" s="834"/>
      <c r="J1337" s="834"/>
      <c r="K1337" s="835"/>
      <c r="L1337" s="835"/>
      <c r="M1337" s="835"/>
      <c r="N1337" s="835"/>
      <c r="O1337" s="835"/>
      <c r="P1337" s="835"/>
      <c r="Q1337" s="540"/>
      <c r="R1337" s="540"/>
      <c r="S1337" s="540"/>
      <c r="T1337" s="540"/>
      <c r="U1337" s="540"/>
      <c r="V1337" s="540"/>
      <c r="W1337" s="540"/>
      <c r="X1337" s="540"/>
      <c r="Y1337" s="540"/>
      <c r="Z1337" s="540"/>
    </row>
    <row r="1338" spans="1:26" ht="19">
      <c r="A1338" s="631"/>
      <c r="B1338" s="631"/>
      <c r="C1338" s="631"/>
      <c r="D1338" s="832"/>
      <c r="E1338" s="631"/>
      <c r="F1338" s="631"/>
      <c r="G1338" s="631"/>
      <c r="H1338" s="833"/>
      <c r="I1338" s="834"/>
      <c r="J1338" s="834"/>
      <c r="K1338" s="835"/>
      <c r="L1338" s="835"/>
      <c r="M1338" s="835"/>
      <c r="N1338" s="835"/>
      <c r="O1338" s="835"/>
      <c r="P1338" s="835"/>
      <c r="Q1338" s="540"/>
      <c r="R1338" s="540"/>
      <c r="S1338" s="540"/>
      <c r="T1338" s="540"/>
      <c r="U1338" s="540"/>
      <c r="V1338" s="540"/>
      <c r="W1338" s="540"/>
      <c r="X1338" s="540"/>
      <c r="Y1338" s="540"/>
      <c r="Z1338" s="540"/>
    </row>
    <row r="1339" spans="1:26" ht="19">
      <c r="A1339" s="631"/>
      <c r="B1339" s="631"/>
      <c r="C1339" s="631"/>
      <c r="D1339" s="832"/>
      <c r="E1339" s="631"/>
      <c r="F1339" s="631"/>
      <c r="G1339" s="631"/>
      <c r="H1339" s="833"/>
      <c r="I1339" s="834"/>
      <c r="J1339" s="834"/>
      <c r="K1339" s="835"/>
      <c r="L1339" s="835"/>
      <c r="M1339" s="835"/>
      <c r="N1339" s="835"/>
      <c r="O1339" s="835"/>
      <c r="P1339" s="835"/>
      <c r="Q1339" s="540"/>
      <c r="R1339" s="540"/>
      <c r="S1339" s="540"/>
      <c r="T1339" s="540"/>
      <c r="U1339" s="540"/>
      <c r="V1339" s="540"/>
      <c r="W1339" s="540"/>
      <c r="X1339" s="540"/>
      <c r="Y1339" s="540"/>
      <c r="Z1339" s="540"/>
    </row>
    <row r="1340" spans="1:26" ht="19">
      <c r="A1340" s="631"/>
      <c r="B1340" s="631"/>
      <c r="C1340" s="631"/>
      <c r="D1340" s="832"/>
      <c r="E1340" s="631"/>
      <c r="F1340" s="631"/>
      <c r="G1340" s="631"/>
      <c r="H1340" s="833"/>
      <c r="I1340" s="834"/>
      <c r="J1340" s="834"/>
      <c r="K1340" s="835"/>
      <c r="L1340" s="835"/>
      <c r="M1340" s="835"/>
      <c r="N1340" s="835"/>
      <c r="O1340" s="835"/>
      <c r="P1340" s="835"/>
      <c r="Q1340" s="540"/>
      <c r="R1340" s="540"/>
      <c r="S1340" s="540"/>
      <c r="T1340" s="540"/>
      <c r="U1340" s="540"/>
      <c r="V1340" s="540"/>
      <c r="W1340" s="540"/>
      <c r="X1340" s="540"/>
      <c r="Y1340" s="540"/>
      <c r="Z1340" s="540"/>
    </row>
    <row r="1341" spans="1:26" ht="19">
      <c r="A1341" s="631"/>
      <c r="B1341" s="631"/>
      <c r="C1341" s="631"/>
      <c r="D1341" s="832"/>
      <c r="E1341" s="631"/>
      <c r="F1341" s="631"/>
      <c r="G1341" s="631"/>
      <c r="H1341" s="833"/>
      <c r="I1341" s="834"/>
      <c r="J1341" s="834"/>
      <c r="K1341" s="835"/>
      <c r="L1341" s="835"/>
      <c r="M1341" s="835"/>
      <c r="N1341" s="835"/>
      <c r="O1341" s="835"/>
      <c r="P1341" s="835"/>
      <c r="Q1341" s="540"/>
      <c r="R1341" s="540"/>
      <c r="S1341" s="540"/>
      <c r="T1341" s="540"/>
      <c r="U1341" s="540"/>
      <c r="V1341" s="540"/>
      <c r="W1341" s="540"/>
      <c r="X1341" s="540"/>
      <c r="Y1341" s="540"/>
      <c r="Z1341" s="540"/>
    </row>
    <row r="1342" spans="1:26" ht="19">
      <c r="A1342" s="631"/>
      <c r="B1342" s="631"/>
      <c r="C1342" s="631"/>
      <c r="D1342" s="832"/>
      <c r="E1342" s="631"/>
      <c r="F1342" s="631"/>
      <c r="G1342" s="631"/>
      <c r="H1342" s="833"/>
      <c r="I1342" s="834"/>
      <c r="J1342" s="834"/>
      <c r="K1342" s="835"/>
      <c r="L1342" s="835"/>
      <c r="M1342" s="835"/>
      <c r="N1342" s="835"/>
      <c r="O1342" s="835"/>
      <c r="P1342" s="835"/>
      <c r="Q1342" s="540"/>
      <c r="R1342" s="540"/>
      <c r="S1342" s="540"/>
      <c r="T1342" s="540"/>
      <c r="U1342" s="540"/>
      <c r="V1342" s="540"/>
      <c r="W1342" s="540"/>
      <c r="X1342" s="540"/>
      <c r="Y1342" s="540"/>
      <c r="Z1342" s="540"/>
    </row>
    <row r="1343" spans="1:26" ht="19">
      <c r="A1343" s="631"/>
      <c r="B1343" s="631"/>
      <c r="C1343" s="631"/>
      <c r="D1343" s="832"/>
      <c r="E1343" s="631"/>
      <c r="F1343" s="631"/>
      <c r="G1343" s="631"/>
      <c r="H1343" s="833"/>
      <c r="I1343" s="834"/>
      <c r="J1343" s="834"/>
      <c r="K1343" s="835"/>
      <c r="L1343" s="835"/>
      <c r="M1343" s="835"/>
      <c r="N1343" s="835"/>
      <c r="O1343" s="835"/>
      <c r="P1343" s="835"/>
      <c r="Q1343" s="540"/>
      <c r="R1343" s="540"/>
      <c r="S1343" s="540"/>
      <c r="T1343" s="540"/>
      <c r="U1343" s="540"/>
      <c r="V1343" s="540"/>
      <c r="W1343" s="540"/>
      <c r="X1343" s="540"/>
      <c r="Y1343" s="540"/>
      <c r="Z1343" s="540"/>
    </row>
    <row r="1344" spans="1:26" ht="19">
      <c r="A1344" s="631"/>
      <c r="B1344" s="631"/>
      <c r="C1344" s="631"/>
      <c r="D1344" s="832"/>
      <c r="E1344" s="631"/>
      <c r="F1344" s="631"/>
      <c r="G1344" s="631"/>
      <c r="H1344" s="833"/>
      <c r="I1344" s="834"/>
      <c r="J1344" s="834"/>
      <c r="K1344" s="835"/>
      <c r="L1344" s="835"/>
      <c r="M1344" s="835"/>
      <c r="N1344" s="835"/>
      <c r="O1344" s="835"/>
      <c r="P1344" s="835"/>
      <c r="Q1344" s="540"/>
      <c r="R1344" s="540"/>
      <c r="S1344" s="540"/>
      <c r="T1344" s="540"/>
      <c r="U1344" s="540"/>
      <c r="V1344" s="540"/>
      <c r="W1344" s="540"/>
      <c r="X1344" s="540"/>
      <c r="Y1344" s="540"/>
      <c r="Z1344" s="540"/>
    </row>
    <row r="1345" spans="1:26" ht="19">
      <c r="A1345" s="631"/>
      <c r="B1345" s="631"/>
      <c r="C1345" s="631"/>
      <c r="D1345" s="832"/>
      <c r="E1345" s="631"/>
      <c r="F1345" s="631"/>
      <c r="G1345" s="631"/>
      <c r="H1345" s="833"/>
      <c r="I1345" s="834"/>
      <c r="J1345" s="834"/>
      <c r="K1345" s="835"/>
      <c r="L1345" s="835"/>
      <c r="M1345" s="835"/>
      <c r="N1345" s="835"/>
      <c r="O1345" s="835"/>
      <c r="P1345" s="835"/>
      <c r="Q1345" s="540"/>
      <c r="R1345" s="540"/>
      <c r="S1345" s="540"/>
      <c r="T1345" s="540"/>
      <c r="U1345" s="540"/>
      <c r="V1345" s="540"/>
      <c r="W1345" s="540"/>
      <c r="X1345" s="540"/>
      <c r="Y1345" s="540"/>
      <c r="Z1345" s="540"/>
    </row>
    <row r="1346" spans="1:26" ht="19">
      <c r="A1346" s="631"/>
      <c r="B1346" s="631"/>
      <c r="C1346" s="631"/>
      <c r="D1346" s="832"/>
      <c r="E1346" s="631"/>
      <c r="F1346" s="631"/>
      <c r="G1346" s="631"/>
      <c r="H1346" s="833"/>
      <c r="I1346" s="834"/>
      <c r="J1346" s="834"/>
      <c r="K1346" s="835"/>
      <c r="L1346" s="835"/>
      <c r="M1346" s="835"/>
      <c r="N1346" s="835"/>
      <c r="O1346" s="835"/>
      <c r="P1346" s="835"/>
      <c r="Q1346" s="540"/>
      <c r="R1346" s="540"/>
      <c r="S1346" s="540"/>
      <c r="T1346" s="540"/>
      <c r="U1346" s="540"/>
      <c r="V1346" s="540"/>
      <c r="W1346" s="540"/>
      <c r="X1346" s="540"/>
      <c r="Y1346" s="540"/>
      <c r="Z1346" s="540"/>
    </row>
    <row r="1347" spans="1:26" ht="19">
      <c r="A1347" s="631"/>
      <c r="B1347" s="631"/>
      <c r="C1347" s="631"/>
      <c r="D1347" s="832"/>
      <c r="E1347" s="631"/>
      <c r="F1347" s="631"/>
      <c r="G1347" s="631"/>
      <c r="H1347" s="833"/>
      <c r="I1347" s="834"/>
      <c r="J1347" s="834"/>
      <c r="K1347" s="835"/>
      <c r="L1347" s="835"/>
      <c r="M1347" s="835"/>
      <c r="N1347" s="835"/>
      <c r="O1347" s="835"/>
      <c r="P1347" s="835"/>
      <c r="Q1347" s="540"/>
      <c r="R1347" s="540"/>
      <c r="S1347" s="540"/>
      <c r="T1347" s="540"/>
      <c r="U1347" s="540"/>
      <c r="V1347" s="540"/>
      <c r="W1347" s="540"/>
      <c r="X1347" s="540"/>
      <c r="Y1347" s="540"/>
      <c r="Z1347" s="540"/>
    </row>
    <row r="1348" spans="1:26" ht="19">
      <c r="A1348" s="631"/>
      <c r="B1348" s="631"/>
      <c r="C1348" s="631"/>
      <c r="D1348" s="832"/>
      <c r="E1348" s="631"/>
      <c r="F1348" s="631"/>
      <c r="G1348" s="631"/>
      <c r="H1348" s="833"/>
      <c r="I1348" s="834"/>
      <c r="J1348" s="834"/>
      <c r="K1348" s="835"/>
      <c r="L1348" s="835"/>
      <c r="M1348" s="835"/>
      <c r="N1348" s="835"/>
      <c r="O1348" s="835"/>
      <c r="P1348" s="835"/>
      <c r="Q1348" s="540"/>
      <c r="R1348" s="540"/>
      <c r="S1348" s="540"/>
      <c r="T1348" s="540"/>
      <c r="U1348" s="540"/>
      <c r="V1348" s="540"/>
      <c r="W1348" s="540"/>
      <c r="X1348" s="540"/>
      <c r="Y1348" s="540"/>
      <c r="Z1348" s="540"/>
    </row>
    <row r="1349" spans="1:26" ht="19">
      <c r="A1349" s="631"/>
      <c r="B1349" s="631"/>
      <c r="C1349" s="631"/>
      <c r="D1349" s="832"/>
      <c r="E1349" s="631"/>
      <c r="F1349" s="631"/>
      <c r="G1349" s="631"/>
      <c r="H1349" s="833"/>
      <c r="I1349" s="834"/>
      <c r="J1349" s="834"/>
      <c r="K1349" s="835"/>
      <c r="L1349" s="835"/>
      <c r="M1349" s="835"/>
      <c r="N1349" s="835"/>
      <c r="O1349" s="835"/>
      <c r="P1349" s="835"/>
      <c r="Q1349" s="540"/>
      <c r="R1349" s="540"/>
      <c r="S1349" s="540"/>
      <c r="T1349" s="540"/>
      <c r="U1349" s="540"/>
      <c r="V1349" s="540"/>
      <c r="W1349" s="540"/>
      <c r="X1349" s="540"/>
      <c r="Y1349" s="540"/>
      <c r="Z1349" s="540"/>
    </row>
    <row r="1350" spans="1:26" ht="19">
      <c r="A1350" s="631"/>
      <c r="B1350" s="631"/>
      <c r="C1350" s="631"/>
      <c r="D1350" s="832"/>
      <c r="E1350" s="631"/>
      <c r="F1350" s="631"/>
      <c r="G1350" s="631"/>
      <c r="H1350" s="833"/>
      <c r="I1350" s="834"/>
      <c r="J1350" s="834"/>
      <c r="K1350" s="835"/>
      <c r="L1350" s="835"/>
      <c r="M1350" s="835"/>
      <c r="N1350" s="835"/>
      <c r="O1350" s="835"/>
      <c r="P1350" s="835"/>
      <c r="Q1350" s="540"/>
      <c r="R1350" s="540"/>
      <c r="S1350" s="540"/>
      <c r="T1350" s="540"/>
      <c r="U1350" s="540"/>
      <c r="V1350" s="540"/>
      <c r="W1350" s="540"/>
      <c r="X1350" s="540"/>
      <c r="Y1350" s="540"/>
      <c r="Z1350" s="540"/>
    </row>
    <row r="1351" spans="1:26" ht="19">
      <c r="A1351" s="631"/>
      <c r="B1351" s="631"/>
      <c r="C1351" s="631"/>
      <c r="D1351" s="832"/>
      <c r="E1351" s="631"/>
      <c r="F1351" s="631"/>
      <c r="G1351" s="631"/>
      <c r="H1351" s="833"/>
      <c r="I1351" s="834"/>
      <c r="J1351" s="834"/>
      <c r="K1351" s="835"/>
      <c r="L1351" s="835"/>
      <c r="M1351" s="835"/>
      <c r="N1351" s="835"/>
      <c r="O1351" s="835"/>
      <c r="P1351" s="835"/>
      <c r="Q1351" s="540"/>
      <c r="R1351" s="540"/>
      <c r="S1351" s="540"/>
      <c r="T1351" s="540"/>
      <c r="U1351" s="540"/>
      <c r="V1351" s="540"/>
      <c r="W1351" s="540"/>
      <c r="X1351" s="540"/>
      <c r="Y1351" s="540"/>
      <c r="Z1351" s="540"/>
    </row>
    <row r="1352" spans="1:26" ht="19">
      <c r="A1352" s="631"/>
      <c r="B1352" s="631"/>
      <c r="C1352" s="631"/>
      <c r="D1352" s="832"/>
      <c r="E1352" s="631"/>
      <c r="F1352" s="631"/>
      <c r="G1352" s="631"/>
      <c r="H1352" s="833"/>
      <c r="I1352" s="834"/>
      <c r="J1352" s="834"/>
      <c r="K1352" s="835"/>
      <c r="L1352" s="835"/>
      <c r="M1352" s="835"/>
      <c r="N1352" s="835"/>
      <c r="O1352" s="835"/>
      <c r="P1352" s="835"/>
      <c r="Q1352" s="540"/>
      <c r="R1352" s="540"/>
      <c r="S1352" s="540"/>
      <c r="T1352" s="540"/>
      <c r="U1352" s="540"/>
      <c r="V1352" s="540"/>
      <c r="W1352" s="540"/>
      <c r="X1352" s="540"/>
      <c r="Y1352" s="540"/>
      <c r="Z1352" s="540"/>
    </row>
    <row r="1353" spans="1:26" ht="19">
      <c r="A1353" s="631"/>
      <c r="B1353" s="631"/>
      <c r="C1353" s="631"/>
      <c r="D1353" s="832"/>
      <c r="E1353" s="631"/>
      <c r="F1353" s="631"/>
      <c r="G1353" s="631"/>
      <c r="H1353" s="833"/>
      <c r="I1353" s="834"/>
      <c r="J1353" s="834"/>
      <c r="K1353" s="835"/>
      <c r="L1353" s="835"/>
      <c r="M1353" s="835"/>
      <c r="N1353" s="835"/>
      <c r="O1353" s="835"/>
      <c r="P1353" s="835"/>
      <c r="Q1353" s="540"/>
      <c r="R1353" s="540"/>
      <c r="S1353" s="540"/>
      <c r="T1353" s="540"/>
      <c r="U1353" s="540"/>
      <c r="V1353" s="540"/>
      <c r="W1353" s="540"/>
      <c r="X1353" s="540"/>
      <c r="Y1353" s="540"/>
      <c r="Z1353" s="540"/>
    </row>
    <row r="1354" spans="1:26" ht="19">
      <c r="A1354" s="631"/>
      <c r="B1354" s="631"/>
      <c r="C1354" s="631"/>
      <c r="D1354" s="832"/>
      <c r="E1354" s="631"/>
      <c r="F1354" s="631"/>
      <c r="G1354" s="631"/>
      <c r="H1354" s="833"/>
      <c r="I1354" s="834"/>
      <c r="J1354" s="834"/>
      <c r="K1354" s="835"/>
      <c r="L1354" s="835"/>
      <c r="M1354" s="835"/>
      <c r="N1354" s="835"/>
      <c r="O1354" s="835"/>
      <c r="P1354" s="835"/>
      <c r="Q1354" s="540"/>
      <c r="R1354" s="540"/>
      <c r="S1354" s="540"/>
      <c r="T1354" s="540"/>
      <c r="U1354" s="540"/>
      <c r="V1354" s="540"/>
      <c r="W1354" s="540"/>
      <c r="X1354" s="540"/>
      <c r="Y1354" s="540"/>
      <c r="Z1354" s="540"/>
    </row>
    <row r="1355" spans="1:26" ht="19">
      <c r="A1355" s="631"/>
      <c r="B1355" s="631"/>
      <c r="C1355" s="631"/>
      <c r="D1355" s="832"/>
      <c r="E1355" s="631"/>
      <c r="F1355" s="631"/>
      <c r="G1355" s="631"/>
      <c r="H1355" s="833"/>
      <c r="I1355" s="834"/>
      <c r="J1355" s="834"/>
      <c r="K1355" s="835"/>
      <c r="L1355" s="835"/>
      <c r="M1355" s="835"/>
      <c r="N1355" s="835"/>
      <c r="O1355" s="835"/>
      <c r="P1355" s="835"/>
      <c r="Q1355" s="540"/>
      <c r="R1355" s="540"/>
      <c r="S1355" s="540"/>
      <c r="T1355" s="540"/>
      <c r="U1355" s="540"/>
      <c r="V1355" s="540"/>
      <c r="W1355" s="540"/>
      <c r="X1355" s="540"/>
      <c r="Y1355" s="540"/>
      <c r="Z1355" s="540"/>
    </row>
    <row r="1356" spans="1:26" ht="19">
      <c r="A1356" s="631"/>
      <c r="B1356" s="631"/>
      <c r="C1356" s="631"/>
      <c r="D1356" s="832"/>
      <c r="E1356" s="631"/>
      <c r="F1356" s="631"/>
      <c r="G1356" s="631"/>
      <c r="H1356" s="833"/>
      <c r="I1356" s="834"/>
      <c r="J1356" s="834"/>
      <c r="K1356" s="835"/>
      <c r="L1356" s="835"/>
      <c r="M1356" s="835"/>
      <c r="N1356" s="835"/>
      <c r="O1356" s="835"/>
      <c r="P1356" s="835"/>
      <c r="Q1356" s="540"/>
      <c r="R1356" s="540"/>
      <c r="S1356" s="540"/>
      <c r="T1356" s="540"/>
      <c r="U1356" s="540"/>
      <c r="V1356" s="540"/>
      <c r="W1356" s="540"/>
      <c r="X1356" s="540"/>
      <c r="Y1356" s="540"/>
      <c r="Z1356" s="540"/>
    </row>
    <row r="1357" spans="1:26" ht="19">
      <c r="A1357" s="631"/>
      <c r="B1357" s="631"/>
      <c r="C1357" s="631"/>
      <c r="D1357" s="832"/>
      <c r="E1357" s="631"/>
      <c r="F1357" s="631"/>
      <c r="G1357" s="631"/>
      <c r="H1357" s="833"/>
      <c r="I1357" s="834"/>
      <c r="J1357" s="834"/>
      <c r="K1357" s="835"/>
      <c r="L1357" s="835"/>
      <c r="M1357" s="835"/>
      <c r="N1357" s="835"/>
      <c r="O1357" s="835"/>
      <c r="P1357" s="835"/>
      <c r="Q1357" s="540"/>
      <c r="R1357" s="540"/>
      <c r="S1357" s="540"/>
      <c r="T1357" s="540"/>
      <c r="U1357" s="540"/>
      <c r="V1357" s="540"/>
      <c r="W1357" s="540"/>
      <c r="X1357" s="540"/>
      <c r="Y1357" s="540"/>
      <c r="Z1357" s="540"/>
    </row>
    <row r="1358" spans="1:26" ht="19">
      <c r="A1358" s="631"/>
      <c r="B1358" s="631"/>
      <c r="C1358" s="631"/>
      <c r="D1358" s="832"/>
      <c r="E1358" s="631"/>
      <c r="F1358" s="631"/>
      <c r="G1358" s="631"/>
      <c r="H1358" s="833"/>
      <c r="I1358" s="834"/>
      <c r="J1358" s="834"/>
      <c r="K1358" s="835"/>
      <c r="L1358" s="835"/>
      <c r="M1358" s="835"/>
      <c r="N1358" s="835"/>
      <c r="O1358" s="835"/>
      <c r="P1358" s="835"/>
      <c r="Q1358" s="540"/>
      <c r="R1358" s="540"/>
      <c r="S1358" s="540"/>
      <c r="T1358" s="540"/>
      <c r="U1358" s="540"/>
      <c r="V1358" s="540"/>
      <c r="W1358" s="540"/>
      <c r="X1358" s="540"/>
      <c r="Y1358" s="540"/>
      <c r="Z1358" s="540"/>
    </row>
    <row r="1359" spans="1:26" ht="19">
      <c r="A1359" s="631"/>
      <c r="B1359" s="631"/>
      <c r="C1359" s="631"/>
      <c r="D1359" s="832"/>
      <c r="E1359" s="631"/>
      <c r="F1359" s="631"/>
      <c r="G1359" s="631"/>
      <c r="H1359" s="833"/>
      <c r="I1359" s="834"/>
      <c r="J1359" s="834"/>
      <c r="K1359" s="835"/>
      <c r="L1359" s="835"/>
      <c r="M1359" s="835"/>
      <c r="N1359" s="835"/>
      <c r="O1359" s="835"/>
      <c r="P1359" s="835"/>
      <c r="Q1359" s="540"/>
      <c r="R1359" s="540"/>
      <c r="S1359" s="540"/>
      <c r="T1359" s="540"/>
      <c r="U1359" s="540"/>
      <c r="V1359" s="540"/>
      <c r="W1359" s="540"/>
      <c r="X1359" s="540"/>
      <c r="Y1359" s="540"/>
      <c r="Z1359" s="540"/>
    </row>
    <row r="1360" spans="1:26" ht="19">
      <c r="A1360" s="631"/>
      <c r="B1360" s="631"/>
      <c r="C1360" s="631"/>
      <c r="D1360" s="832"/>
      <c r="E1360" s="631"/>
      <c r="F1360" s="631"/>
      <c r="G1360" s="631"/>
      <c r="H1360" s="833"/>
      <c r="I1360" s="834"/>
      <c r="J1360" s="834"/>
      <c r="K1360" s="835"/>
      <c r="L1360" s="835"/>
      <c r="M1360" s="835"/>
      <c r="N1360" s="835"/>
      <c r="O1360" s="835"/>
      <c r="P1360" s="835"/>
      <c r="Q1360" s="540"/>
      <c r="R1360" s="540"/>
      <c r="S1360" s="540"/>
      <c r="T1360" s="540"/>
      <c r="U1360" s="540"/>
      <c r="V1360" s="540"/>
      <c r="W1360" s="540"/>
      <c r="X1360" s="540"/>
      <c r="Y1360" s="540"/>
      <c r="Z1360" s="540"/>
    </row>
    <row r="1361" spans="1:26" ht="19">
      <c r="A1361" s="631"/>
      <c r="B1361" s="631"/>
      <c r="C1361" s="631"/>
      <c r="D1361" s="832"/>
      <c r="E1361" s="631"/>
      <c r="F1361" s="631"/>
      <c r="G1361" s="631"/>
      <c r="H1361" s="833"/>
      <c r="I1361" s="834"/>
      <c r="J1361" s="834"/>
      <c r="K1361" s="835"/>
      <c r="L1361" s="835"/>
      <c r="M1361" s="835"/>
      <c r="N1361" s="835"/>
      <c r="O1361" s="835"/>
      <c r="P1361" s="835"/>
      <c r="Q1361" s="540"/>
      <c r="R1361" s="540"/>
      <c r="S1361" s="540"/>
      <c r="T1361" s="540"/>
      <c r="U1361" s="540"/>
      <c r="V1361" s="540"/>
      <c r="W1361" s="540"/>
      <c r="X1361" s="540"/>
      <c r="Y1361" s="540"/>
      <c r="Z1361" s="540"/>
    </row>
    <row r="1362" spans="1:26" ht="19">
      <c r="A1362" s="631"/>
      <c r="B1362" s="631"/>
      <c r="C1362" s="631"/>
      <c r="D1362" s="832"/>
      <c r="E1362" s="631"/>
      <c r="F1362" s="631"/>
      <c r="G1362" s="631"/>
      <c r="H1362" s="833"/>
      <c r="I1362" s="834"/>
      <c r="J1362" s="834"/>
      <c r="K1362" s="835"/>
      <c r="L1362" s="835"/>
      <c r="M1362" s="835"/>
      <c r="N1362" s="835"/>
      <c r="O1362" s="835"/>
      <c r="P1362" s="835"/>
      <c r="Q1362" s="540"/>
      <c r="R1362" s="540"/>
      <c r="S1362" s="540"/>
      <c r="T1362" s="540"/>
      <c r="U1362" s="540"/>
      <c r="V1362" s="540"/>
      <c r="W1362" s="540"/>
      <c r="X1362" s="540"/>
      <c r="Y1362" s="540"/>
      <c r="Z1362" s="540"/>
    </row>
    <row r="1363" spans="1:26" ht="19">
      <c r="A1363" s="631"/>
      <c r="B1363" s="631"/>
      <c r="C1363" s="631"/>
      <c r="D1363" s="832"/>
      <c r="E1363" s="631"/>
      <c r="F1363" s="631"/>
      <c r="G1363" s="631"/>
      <c r="H1363" s="833"/>
      <c r="I1363" s="834"/>
      <c r="J1363" s="834"/>
      <c r="K1363" s="835"/>
      <c r="L1363" s="835"/>
      <c r="M1363" s="835"/>
      <c r="N1363" s="835"/>
      <c r="O1363" s="835"/>
      <c r="P1363" s="835"/>
      <c r="Q1363" s="540"/>
      <c r="R1363" s="540"/>
      <c r="S1363" s="540"/>
      <c r="T1363" s="540"/>
      <c r="U1363" s="540"/>
      <c r="V1363" s="540"/>
      <c r="W1363" s="540"/>
      <c r="X1363" s="540"/>
      <c r="Y1363" s="540"/>
      <c r="Z1363" s="540"/>
    </row>
    <row r="1364" spans="1:26" ht="19">
      <c r="A1364" s="631"/>
      <c r="B1364" s="631"/>
      <c r="C1364" s="631"/>
      <c r="D1364" s="832"/>
      <c r="E1364" s="631"/>
      <c r="F1364" s="631"/>
      <c r="G1364" s="631"/>
      <c r="H1364" s="833"/>
      <c r="I1364" s="834"/>
      <c r="J1364" s="834"/>
      <c r="K1364" s="835"/>
      <c r="L1364" s="835"/>
      <c r="M1364" s="835"/>
      <c r="N1364" s="835"/>
      <c r="O1364" s="835"/>
      <c r="P1364" s="835"/>
      <c r="Q1364" s="540"/>
      <c r="R1364" s="540"/>
      <c r="S1364" s="540"/>
      <c r="T1364" s="540"/>
      <c r="U1364" s="540"/>
      <c r="V1364" s="540"/>
      <c r="W1364" s="540"/>
      <c r="X1364" s="540"/>
      <c r="Y1364" s="540"/>
      <c r="Z1364" s="540"/>
    </row>
    <row r="1365" spans="1:26" ht="19">
      <c r="A1365" s="631"/>
      <c r="B1365" s="631"/>
      <c r="C1365" s="631"/>
      <c r="D1365" s="832"/>
      <c r="E1365" s="631"/>
      <c r="F1365" s="631"/>
      <c r="G1365" s="631"/>
      <c r="H1365" s="833"/>
      <c r="I1365" s="834"/>
      <c r="J1365" s="834"/>
      <c r="K1365" s="835"/>
      <c r="L1365" s="835"/>
      <c r="M1365" s="835"/>
      <c r="N1365" s="835"/>
      <c r="O1365" s="835"/>
      <c r="P1365" s="835"/>
      <c r="Q1365" s="540"/>
      <c r="R1365" s="540"/>
      <c r="S1365" s="540"/>
      <c r="T1365" s="540"/>
      <c r="U1365" s="540"/>
      <c r="V1365" s="540"/>
      <c r="W1365" s="540"/>
      <c r="X1365" s="540"/>
      <c r="Y1365" s="540"/>
      <c r="Z1365" s="540"/>
    </row>
    <row r="1366" spans="1:26" ht="19">
      <c r="A1366" s="631"/>
      <c r="B1366" s="631"/>
      <c r="C1366" s="631"/>
      <c r="D1366" s="832"/>
      <c r="E1366" s="631"/>
      <c r="F1366" s="631"/>
      <c r="G1366" s="631"/>
      <c r="H1366" s="833"/>
      <c r="I1366" s="834"/>
      <c r="J1366" s="834"/>
      <c r="K1366" s="835"/>
      <c r="L1366" s="835"/>
      <c r="M1366" s="835"/>
      <c r="N1366" s="835"/>
      <c r="O1366" s="835"/>
      <c r="P1366" s="835"/>
      <c r="Q1366" s="540"/>
      <c r="R1366" s="540"/>
      <c r="S1366" s="540"/>
      <c r="T1366" s="540"/>
      <c r="U1366" s="540"/>
      <c r="V1366" s="540"/>
      <c r="W1366" s="540"/>
      <c r="X1366" s="540"/>
      <c r="Y1366" s="540"/>
      <c r="Z1366" s="540"/>
    </row>
    <row r="1367" spans="1:26" ht="19">
      <c r="A1367" s="631"/>
      <c r="B1367" s="631"/>
      <c r="C1367" s="631"/>
      <c r="D1367" s="832"/>
      <c r="E1367" s="631"/>
      <c r="F1367" s="631"/>
      <c r="G1367" s="631"/>
      <c r="H1367" s="833"/>
      <c r="I1367" s="834"/>
      <c r="J1367" s="834"/>
      <c r="K1367" s="835"/>
      <c r="L1367" s="835"/>
      <c r="M1367" s="835"/>
      <c r="N1367" s="835"/>
      <c r="O1367" s="835"/>
      <c r="P1367" s="835"/>
      <c r="Q1367" s="540"/>
      <c r="R1367" s="540"/>
      <c r="S1367" s="540"/>
      <c r="T1367" s="540"/>
      <c r="U1367" s="540"/>
      <c r="V1367" s="540"/>
      <c r="W1367" s="540"/>
      <c r="X1367" s="540"/>
      <c r="Y1367" s="540"/>
      <c r="Z1367" s="540"/>
    </row>
    <row r="1368" spans="1:26" ht="19">
      <c r="A1368" s="631"/>
      <c r="B1368" s="631"/>
      <c r="C1368" s="631"/>
      <c r="D1368" s="832"/>
      <c r="E1368" s="631"/>
      <c r="F1368" s="631"/>
      <c r="G1368" s="631"/>
      <c r="H1368" s="833"/>
      <c r="I1368" s="834"/>
      <c r="J1368" s="834"/>
      <c r="K1368" s="835"/>
      <c r="L1368" s="835"/>
      <c r="M1368" s="835"/>
      <c r="N1368" s="835"/>
      <c r="O1368" s="835"/>
      <c r="P1368" s="835"/>
      <c r="Q1368" s="540"/>
      <c r="R1368" s="540"/>
      <c r="S1368" s="540"/>
      <c r="T1368" s="540"/>
      <c r="U1368" s="540"/>
      <c r="V1368" s="540"/>
      <c r="W1368" s="540"/>
      <c r="X1368" s="540"/>
      <c r="Y1368" s="540"/>
      <c r="Z1368" s="540"/>
    </row>
    <row r="1369" spans="1:26" ht="19">
      <c r="A1369" s="631"/>
      <c r="B1369" s="631"/>
      <c r="C1369" s="631"/>
      <c r="D1369" s="832"/>
      <c r="E1369" s="631"/>
      <c r="F1369" s="631"/>
      <c r="G1369" s="631"/>
      <c r="H1369" s="833"/>
      <c r="I1369" s="834"/>
      <c r="J1369" s="834"/>
      <c r="K1369" s="835"/>
      <c r="L1369" s="835"/>
      <c r="M1369" s="835"/>
      <c r="N1369" s="835"/>
      <c r="O1369" s="835"/>
      <c r="P1369" s="835"/>
      <c r="Q1369" s="540"/>
      <c r="R1369" s="540"/>
      <c r="S1369" s="540"/>
      <c r="T1369" s="540"/>
      <c r="U1369" s="540"/>
      <c r="V1369" s="540"/>
      <c r="W1369" s="540"/>
      <c r="X1369" s="540"/>
      <c r="Y1369" s="540"/>
      <c r="Z1369" s="540"/>
    </row>
    <row r="1370" spans="1:26" ht="19">
      <c r="A1370" s="631"/>
      <c r="B1370" s="631"/>
      <c r="C1370" s="631"/>
      <c r="D1370" s="832"/>
      <c r="E1370" s="631"/>
      <c r="F1370" s="631"/>
      <c r="G1370" s="631"/>
      <c r="H1370" s="833"/>
      <c r="I1370" s="834"/>
      <c r="J1370" s="834"/>
      <c r="K1370" s="835"/>
      <c r="L1370" s="835"/>
      <c r="M1370" s="835"/>
      <c r="N1370" s="835"/>
      <c r="O1370" s="835"/>
      <c r="P1370" s="835"/>
      <c r="Q1370" s="540"/>
      <c r="R1370" s="540"/>
      <c r="S1370" s="540"/>
      <c r="T1370" s="540"/>
      <c r="U1370" s="540"/>
      <c r="V1370" s="540"/>
      <c r="W1370" s="540"/>
      <c r="X1370" s="540"/>
      <c r="Y1370" s="540"/>
      <c r="Z1370" s="540"/>
    </row>
    <row r="1371" spans="1:26" ht="19">
      <c r="A1371" s="631"/>
      <c r="B1371" s="631"/>
      <c r="C1371" s="631"/>
      <c r="D1371" s="832"/>
      <c r="E1371" s="631"/>
      <c r="F1371" s="631"/>
      <c r="G1371" s="631"/>
      <c r="H1371" s="833"/>
      <c r="I1371" s="834"/>
      <c r="J1371" s="834"/>
      <c r="K1371" s="835"/>
      <c r="L1371" s="835"/>
      <c r="M1371" s="835"/>
      <c r="N1371" s="835"/>
      <c r="O1371" s="835"/>
      <c r="P1371" s="835"/>
      <c r="Q1371" s="540"/>
      <c r="R1371" s="540"/>
      <c r="S1371" s="540"/>
      <c r="T1371" s="540"/>
      <c r="U1371" s="540"/>
      <c r="V1371" s="540"/>
      <c r="W1371" s="540"/>
      <c r="X1371" s="540"/>
      <c r="Y1371" s="540"/>
      <c r="Z1371" s="540"/>
    </row>
    <row r="1372" spans="1:26" ht="19">
      <c r="A1372" s="631"/>
      <c r="B1372" s="631"/>
      <c r="C1372" s="631"/>
      <c r="D1372" s="832"/>
      <c r="E1372" s="631"/>
      <c r="F1372" s="631"/>
      <c r="G1372" s="631"/>
      <c r="H1372" s="833"/>
      <c r="I1372" s="834"/>
      <c r="J1372" s="834"/>
      <c r="K1372" s="835"/>
      <c r="L1372" s="835"/>
      <c r="M1372" s="835"/>
      <c r="N1372" s="835"/>
      <c r="O1372" s="835"/>
      <c r="P1372" s="835"/>
      <c r="Q1372" s="540"/>
      <c r="R1372" s="540"/>
      <c r="S1372" s="540"/>
      <c r="T1372" s="540"/>
      <c r="U1372" s="540"/>
      <c r="V1372" s="540"/>
      <c r="W1372" s="540"/>
      <c r="X1372" s="540"/>
      <c r="Y1372" s="540"/>
      <c r="Z1372" s="540"/>
    </row>
    <row r="1373" spans="1:26" ht="19">
      <c r="A1373" s="631"/>
      <c r="B1373" s="631"/>
      <c r="C1373" s="631"/>
      <c r="D1373" s="832"/>
      <c r="E1373" s="631"/>
      <c r="F1373" s="631"/>
      <c r="G1373" s="631"/>
      <c r="H1373" s="833"/>
      <c r="I1373" s="834"/>
      <c r="J1373" s="834"/>
      <c r="K1373" s="835"/>
      <c r="L1373" s="835"/>
      <c r="M1373" s="835"/>
      <c r="N1373" s="835"/>
      <c r="O1373" s="835"/>
      <c r="P1373" s="835"/>
      <c r="Q1373" s="540"/>
      <c r="R1373" s="540"/>
      <c r="S1373" s="540"/>
      <c r="T1373" s="540"/>
      <c r="U1373" s="540"/>
      <c r="V1373" s="540"/>
      <c r="W1373" s="540"/>
      <c r="X1373" s="540"/>
      <c r="Y1373" s="540"/>
      <c r="Z1373" s="540"/>
    </row>
    <row r="1374" spans="1:26" ht="19">
      <c r="A1374" s="631"/>
      <c r="B1374" s="631"/>
      <c r="C1374" s="631"/>
      <c r="D1374" s="832"/>
      <c r="E1374" s="631"/>
      <c r="F1374" s="631"/>
      <c r="G1374" s="631"/>
      <c r="H1374" s="833"/>
      <c r="I1374" s="834"/>
      <c r="J1374" s="834"/>
      <c r="K1374" s="835"/>
      <c r="L1374" s="835"/>
      <c r="M1374" s="835"/>
      <c r="N1374" s="835"/>
      <c r="O1374" s="835"/>
      <c r="P1374" s="835"/>
      <c r="Q1374" s="540"/>
      <c r="R1374" s="540"/>
      <c r="S1374" s="540"/>
      <c r="T1374" s="540"/>
      <c r="U1374" s="540"/>
      <c r="V1374" s="540"/>
      <c r="W1374" s="540"/>
      <c r="X1374" s="540"/>
      <c r="Y1374" s="540"/>
      <c r="Z1374" s="540"/>
    </row>
    <row r="1375" spans="1:26" ht="19">
      <c r="A1375" s="631"/>
      <c r="B1375" s="631"/>
      <c r="C1375" s="631"/>
      <c r="D1375" s="832"/>
      <c r="E1375" s="631"/>
      <c r="F1375" s="631"/>
      <c r="G1375" s="631"/>
      <c r="H1375" s="833"/>
      <c r="I1375" s="834"/>
      <c r="J1375" s="834"/>
      <c r="K1375" s="835"/>
      <c r="L1375" s="835"/>
      <c r="M1375" s="835"/>
      <c r="N1375" s="835"/>
      <c r="O1375" s="835"/>
      <c r="P1375" s="835"/>
      <c r="Q1375" s="540"/>
      <c r="R1375" s="540"/>
      <c r="S1375" s="540"/>
      <c r="T1375" s="540"/>
      <c r="U1375" s="540"/>
      <c r="V1375" s="540"/>
      <c r="W1375" s="540"/>
      <c r="X1375" s="540"/>
      <c r="Y1375" s="540"/>
      <c r="Z1375" s="540"/>
    </row>
    <row r="1376" spans="1:26" ht="19">
      <c r="A1376" s="631"/>
      <c r="B1376" s="631"/>
      <c r="C1376" s="631"/>
      <c r="D1376" s="832"/>
      <c r="E1376" s="631"/>
      <c r="F1376" s="631"/>
      <c r="G1376" s="631"/>
      <c r="H1376" s="833"/>
      <c r="I1376" s="834"/>
      <c r="J1376" s="834"/>
      <c r="K1376" s="835"/>
      <c r="L1376" s="835"/>
      <c r="M1376" s="835"/>
      <c r="N1376" s="835"/>
      <c r="O1376" s="835"/>
      <c r="P1376" s="835"/>
      <c r="Q1376" s="540"/>
      <c r="R1376" s="540"/>
      <c r="S1376" s="540"/>
      <c r="T1376" s="540"/>
      <c r="U1376" s="540"/>
      <c r="V1376" s="540"/>
      <c r="W1376" s="540"/>
      <c r="X1376" s="540"/>
      <c r="Y1376" s="540"/>
      <c r="Z1376" s="540"/>
    </row>
    <row r="1377" spans="1:26" ht="19">
      <c r="A1377" s="631"/>
      <c r="B1377" s="631"/>
      <c r="C1377" s="631"/>
      <c r="D1377" s="832"/>
      <c r="E1377" s="631"/>
      <c r="F1377" s="631"/>
      <c r="G1377" s="631"/>
      <c r="H1377" s="833"/>
      <c r="I1377" s="834"/>
      <c r="J1377" s="834"/>
      <c r="K1377" s="835"/>
      <c r="L1377" s="835"/>
      <c r="M1377" s="835"/>
      <c r="N1377" s="835"/>
      <c r="O1377" s="835"/>
      <c r="P1377" s="835"/>
      <c r="Q1377" s="540"/>
      <c r="R1377" s="540"/>
      <c r="S1377" s="540"/>
      <c r="T1377" s="540"/>
      <c r="U1377" s="540"/>
      <c r="V1377" s="540"/>
      <c r="W1377" s="540"/>
      <c r="X1377" s="540"/>
      <c r="Y1377" s="540"/>
      <c r="Z1377" s="540"/>
    </row>
    <row r="1378" spans="1:26" ht="19">
      <c r="A1378" s="631"/>
      <c r="B1378" s="631"/>
      <c r="C1378" s="631"/>
      <c r="D1378" s="832"/>
      <c r="E1378" s="631"/>
      <c r="F1378" s="631"/>
      <c r="G1378" s="631"/>
      <c r="H1378" s="833"/>
      <c r="I1378" s="834"/>
      <c r="J1378" s="834"/>
      <c r="K1378" s="835"/>
      <c r="L1378" s="835"/>
      <c r="M1378" s="835"/>
      <c r="N1378" s="835"/>
      <c r="O1378" s="835"/>
      <c r="P1378" s="835"/>
      <c r="Q1378" s="540"/>
      <c r="R1378" s="540"/>
      <c r="S1378" s="540"/>
      <c r="T1378" s="540"/>
      <c r="U1378" s="540"/>
      <c r="V1378" s="540"/>
      <c r="W1378" s="540"/>
      <c r="X1378" s="540"/>
      <c r="Y1378" s="540"/>
      <c r="Z1378" s="540"/>
    </row>
    <row r="1379" spans="1:26" ht="19">
      <c r="A1379" s="631"/>
      <c r="B1379" s="631"/>
      <c r="C1379" s="631"/>
      <c r="D1379" s="832"/>
      <c r="E1379" s="631"/>
      <c r="F1379" s="631"/>
      <c r="G1379" s="631"/>
      <c r="H1379" s="833"/>
      <c r="I1379" s="834"/>
      <c r="J1379" s="834"/>
      <c r="K1379" s="835"/>
      <c r="L1379" s="835"/>
      <c r="M1379" s="835"/>
      <c r="N1379" s="835"/>
      <c r="O1379" s="835"/>
      <c r="P1379" s="835"/>
      <c r="Q1379" s="540"/>
      <c r="R1379" s="540"/>
      <c r="S1379" s="540"/>
      <c r="T1379" s="540"/>
      <c r="U1379" s="540"/>
      <c r="V1379" s="540"/>
      <c r="W1379" s="540"/>
      <c r="X1379" s="540"/>
      <c r="Y1379" s="540"/>
      <c r="Z1379" s="540"/>
    </row>
    <row r="1380" spans="1:26" ht="19">
      <c r="A1380" s="631"/>
      <c r="B1380" s="631"/>
      <c r="C1380" s="631"/>
      <c r="D1380" s="832"/>
      <c r="E1380" s="631"/>
      <c r="F1380" s="631"/>
      <c r="G1380" s="631"/>
      <c r="H1380" s="833"/>
      <c r="I1380" s="834"/>
      <c r="J1380" s="834"/>
      <c r="K1380" s="835"/>
      <c r="L1380" s="835"/>
      <c r="M1380" s="835"/>
      <c r="N1380" s="835"/>
      <c r="O1380" s="835"/>
      <c r="P1380" s="835"/>
      <c r="Q1380" s="540"/>
      <c r="R1380" s="540"/>
      <c r="S1380" s="540"/>
      <c r="T1380" s="540"/>
      <c r="U1380" s="540"/>
      <c r="V1380" s="540"/>
      <c r="W1380" s="540"/>
      <c r="X1380" s="540"/>
      <c r="Y1380" s="540"/>
      <c r="Z1380" s="540"/>
    </row>
    <row r="1381" spans="1:26" ht="19">
      <c r="A1381" s="631"/>
      <c r="B1381" s="631"/>
      <c r="C1381" s="631"/>
      <c r="D1381" s="832"/>
      <c r="E1381" s="631"/>
      <c r="F1381" s="631"/>
      <c r="G1381" s="631"/>
      <c r="H1381" s="833"/>
      <c r="I1381" s="834"/>
      <c r="J1381" s="834"/>
      <c r="K1381" s="835"/>
      <c r="L1381" s="835"/>
      <c r="M1381" s="835"/>
      <c r="N1381" s="835"/>
      <c r="O1381" s="835"/>
      <c r="P1381" s="835"/>
      <c r="Q1381" s="540"/>
      <c r="R1381" s="540"/>
      <c r="S1381" s="540"/>
      <c r="T1381" s="540"/>
      <c r="U1381" s="540"/>
      <c r="V1381" s="540"/>
      <c r="W1381" s="540"/>
      <c r="X1381" s="540"/>
      <c r="Y1381" s="540"/>
      <c r="Z1381" s="540"/>
    </row>
    <row r="1382" spans="1:26" ht="19">
      <c r="A1382" s="631"/>
      <c r="B1382" s="631"/>
      <c r="C1382" s="631"/>
      <c r="D1382" s="832"/>
      <c r="E1382" s="631"/>
      <c r="F1382" s="631"/>
      <c r="G1382" s="631"/>
      <c r="H1382" s="833"/>
      <c r="I1382" s="834"/>
      <c r="J1382" s="834"/>
      <c r="K1382" s="835"/>
      <c r="L1382" s="835"/>
      <c r="M1382" s="835"/>
      <c r="N1382" s="835"/>
      <c r="O1382" s="835"/>
      <c r="P1382" s="835"/>
      <c r="Q1382" s="540"/>
      <c r="R1382" s="540"/>
      <c r="S1382" s="540"/>
      <c r="T1382" s="540"/>
      <c r="U1382" s="540"/>
      <c r="V1382" s="540"/>
      <c r="W1382" s="540"/>
      <c r="X1382" s="540"/>
      <c r="Y1382" s="540"/>
      <c r="Z1382" s="540"/>
    </row>
    <row r="1383" spans="1:26" ht="19">
      <c r="A1383" s="631"/>
      <c r="B1383" s="631"/>
      <c r="C1383" s="631"/>
      <c r="D1383" s="832"/>
      <c r="E1383" s="631"/>
      <c r="F1383" s="631"/>
      <c r="G1383" s="631"/>
      <c r="H1383" s="833"/>
      <c r="I1383" s="834"/>
      <c r="J1383" s="834"/>
      <c r="K1383" s="835"/>
      <c r="L1383" s="835"/>
      <c r="M1383" s="835"/>
      <c r="N1383" s="835"/>
      <c r="O1383" s="835"/>
      <c r="P1383" s="835"/>
      <c r="Q1383" s="540"/>
      <c r="R1383" s="540"/>
      <c r="S1383" s="540"/>
      <c r="T1383" s="540"/>
      <c r="U1383" s="540"/>
      <c r="V1383" s="540"/>
      <c r="W1383" s="540"/>
      <c r="X1383" s="540"/>
      <c r="Y1383" s="540"/>
      <c r="Z1383" s="540"/>
    </row>
    <row r="1384" spans="1:26" ht="19">
      <c r="A1384" s="631"/>
      <c r="B1384" s="631"/>
      <c r="C1384" s="631"/>
      <c r="D1384" s="832"/>
      <c r="E1384" s="631"/>
      <c r="F1384" s="631"/>
      <c r="G1384" s="631"/>
      <c r="H1384" s="833"/>
      <c r="I1384" s="834"/>
      <c r="J1384" s="834"/>
      <c r="K1384" s="835"/>
      <c r="L1384" s="835"/>
      <c r="M1384" s="835"/>
      <c r="N1384" s="835"/>
      <c r="O1384" s="835"/>
      <c r="P1384" s="835"/>
      <c r="Q1384" s="540"/>
      <c r="R1384" s="540"/>
      <c r="S1384" s="540"/>
      <c r="T1384" s="540"/>
      <c r="U1384" s="540"/>
      <c r="V1384" s="540"/>
      <c r="W1384" s="540"/>
      <c r="X1384" s="540"/>
      <c r="Y1384" s="540"/>
      <c r="Z1384" s="540"/>
    </row>
    <row r="1385" spans="1:26" ht="19">
      <c r="A1385" s="631"/>
      <c r="B1385" s="631"/>
      <c r="C1385" s="631"/>
      <c r="D1385" s="832"/>
      <c r="E1385" s="631"/>
      <c r="F1385" s="631"/>
      <c r="G1385" s="631"/>
      <c r="H1385" s="833"/>
      <c r="I1385" s="834"/>
      <c r="J1385" s="834"/>
      <c r="K1385" s="835"/>
      <c r="L1385" s="835"/>
      <c r="M1385" s="835"/>
      <c r="N1385" s="835"/>
      <c r="O1385" s="835"/>
      <c r="P1385" s="835"/>
      <c r="Q1385" s="540"/>
      <c r="R1385" s="540"/>
      <c r="S1385" s="540"/>
      <c r="T1385" s="540"/>
      <c r="U1385" s="540"/>
      <c r="V1385" s="540"/>
      <c r="W1385" s="540"/>
      <c r="X1385" s="540"/>
      <c r="Y1385" s="540"/>
      <c r="Z1385" s="540"/>
    </row>
    <row r="1386" spans="1:26" ht="19">
      <c r="A1386" s="631"/>
      <c r="B1386" s="631"/>
      <c r="C1386" s="631"/>
      <c r="D1386" s="832"/>
      <c r="E1386" s="631"/>
      <c r="F1386" s="631"/>
      <c r="G1386" s="631"/>
      <c r="H1386" s="833"/>
      <c r="I1386" s="834"/>
      <c r="J1386" s="834"/>
      <c r="K1386" s="835"/>
      <c r="L1386" s="835"/>
      <c r="M1386" s="835"/>
      <c r="N1386" s="835"/>
      <c r="O1386" s="835"/>
      <c r="P1386" s="835"/>
      <c r="Q1386" s="540"/>
      <c r="R1386" s="540"/>
      <c r="S1386" s="540"/>
      <c r="T1386" s="540"/>
      <c r="U1386" s="540"/>
      <c r="V1386" s="540"/>
      <c r="W1386" s="540"/>
      <c r="X1386" s="540"/>
      <c r="Y1386" s="540"/>
      <c r="Z1386" s="540"/>
    </row>
    <row r="1387" spans="1:26" ht="19">
      <c r="A1387" s="631"/>
      <c r="B1387" s="631"/>
      <c r="C1387" s="631"/>
      <c r="D1387" s="832"/>
      <c r="E1387" s="631"/>
      <c r="F1387" s="631"/>
      <c r="G1387" s="631"/>
      <c r="H1387" s="833"/>
      <c r="I1387" s="834"/>
      <c r="J1387" s="834"/>
      <c r="K1387" s="835"/>
      <c r="L1387" s="835"/>
      <c r="M1387" s="835"/>
      <c r="N1387" s="835"/>
      <c r="O1387" s="835"/>
      <c r="P1387" s="835"/>
      <c r="Q1387" s="540"/>
      <c r="R1387" s="540"/>
      <c r="S1387" s="540"/>
      <c r="T1387" s="540"/>
      <c r="U1387" s="540"/>
      <c r="V1387" s="540"/>
      <c r="W1387" s="540"/>
      <c r="X1387" s="540"/>
      <c r="Y1387" s="540"/>
      <c r="Z1387" s="540"/>
    </row>
    <row r="1388" spans="1:26" ht="19">
      <c r="A1388" s="631"/>
      <c r="B1388" s="631"/>
      <c r="C1388" s="631"/>
      <c r="D1388" s="832"/>
      <c r="E1388" s="631"/>
      <c r="F1388" s="631"/>
      <c r="G1388" s="631"/>
      <c r="H1388" s="833"/>
      <c r="I1388" s="834"/>
      <c r="J1388" s="834"/>
      <c r="K1388" s="835"/>
      <c r="L1388" s="835"/>
      <c r="M1388" s="835"/>
      <c r="N1388" s="835"/>
      <c r="O1388" s="835"/>
      <c r="P1388" s="835"/>
      <c r="Q1388" s="540"/>
      <c r="R1388" s="540"/>
      <c r="S1388" s="540"/>
      <c r="T1388" s="540"/>
      <c r="U1388" s="540"/>
      <c r="V1388" s="540"/>
      <c r="W1388" s="540"/>
      <c r="X1388" s="540"/>
      <c r="Y1388" s="540"/>
      <c r="Z1388" s="540"/>
    </row>
    <row r="1389" spans="1:26" ht="19">
      <c r="A1389" s="631"/>
      <c r="B1389" s="631"/>
      <c r="C1389" s="631"/>
      <c r="D1389" s="832"/>
      <c r="E1389" s="631"/>
      <c r="F1389" s="631"/>
      <c r="G1389" s="631"/>
      <c r="H1389" s="833"/>
      <c r="I1389" s="834"/>
      <c r="J1389" s="834"/>
      <c r="K1389" s="835"/>
      <c r="L1389" s="835"/>
      <c r="M1389" s="835"/>
      <c r="N1389" s="835"/>
      <c r="O1389" s="835"/>
      <c r="P1389" s="835"/>
      <c r="Q1389" s="540"/>
      <c r="R1389" s="540"/>
      <c r="S1389" s="540"/>
      <c r="T1389" s="540"/>
      <c r="U1389" s="540"/>
      <c r="V1389" s="540"/>
      <c r="W1389" s="540"/>
      <c r="X1389" s="540"/>
      <c r="Y1389" s="540"/>
      <c r="Z1389" s="540"/>
    </row>
    <row r="1390" spans="1:26" ht="19">
      <c r="A1390" s="631"/>
      <c r="B1390" s="631"/>
      <c r="C1390" s="631"/>
      <c r="D1390" s="832"/>
      <c r="E1390" s="631"/>
      <c r="F1390" s="631"/>
      <c r="G1390" s="631"/>
      <c r="H1390" s="833"/>
      <c r="I1390" s="834"/>
      <c r="J1390" s="834"/>
      <c r="K1390" s="835"/>
      <c r="L1390" s="835"/>
      <c r="M1390" s="835"/>
      <c r="N1390" s="835"/>
      <c r="O1390" s="835"/>
      <c r="P1390" s="835"/>
      <c r="Q1390" s="540"/>
      <c r="R1390" s="540"/>
      <c r="S1390" s="540"/>
      <c r="T1390" s="540"/>
      <c r="U1390" s="540"/>
      <c r="V1390" s="540"/>
      <c r="W1390" s="540"/>
      <c r="X1390" s="540"/>
      <c r="Y1390" s="540"/>
      <c r="Z1390" s="540"/>
    </row>
    <row r="1391" spans="1:26" ht="19">
      <c r="A1391" s="631"/>
      <c r="B1391" s="631"/>
      <c r="C1391" s="631"/>
      <c r="D1391" s="832"/>
      <c r="E1391" s="631"/>
      <c r="F1391" s="631"/>
      <c r="G1391" s="631"/>
      <c r="H1391" s="833"/>
      <c r="I1391" s="834"/>
      <c r="J1391" s="834"/>
      <c r="K1391" s="835"/>
      <c r="L1391" s="835"/>
      <c r="M1391" s="835"/>
      <c r="N1391" s="835"/>
      <c r="O1391" s="835"/>
      <c r="P1391" s="835"/>
      <c r="Q1391" s="540"/>
      <c r="R1391" s="540"/>
      <c r="S1391" s="540"/>
      <c r="T1391" s="540"/>
      <c r="U1391" s="540"/>
      <c r="V1391" s="540"/>
      <c r="W1391" s="540"/>
      <c r="X1391" s="540"/>
      <c r="Y1391" s="540"/>
      <c r="Z1391" s="540"/>
    </row>
    <row r="1392" spans="1:26" ht="19">
      <c r="A1392" s="631"/>
      <c r="B1392" s="631"/>
      <c r="C1392" s="631"/>
      <c r="D1392" s="832"/>
      <c r="E1392" s="631"/>
      <c r="F1392" s="631"/>
      <c r="G1392" s="631"/>
      <c r="H1392" s="833"/>
      <c r="I1392" s="834"/>
      <c r="J1392" s="834"/>
      <c r="K1392" s="835"/>
      <c r="L1392" s="835"/>
      <c r="M1392" s="835"/>
      <c r="N1392" s="835"/>
      <c r="O1392" s="835"/>
      <c r="P1392" s="835"/>
      <c r="Q1392" s="540"/>
      <c r="R1392" s="540"/>
      <c r="S1392" s="540"/>
      <c r="T1392" s="540"/>
      <c r="U1392" s="540"/>
      <c r="V1392" s="540"/>
      <c r="W1392" s="540"/>
      <c r="X1392" s="540"/>
      <c r="Y1392" s="540"/>
      <c r="Z1392" s="540"/>
    </row>
    <row r="1393" spans="1:26" ht="19">
      <c r="A1393" s="631"/>
      <c r="B1393" s="631"/>
      <c r="C1393" s="631"/>
      <c r="D1393" s="832"/>
      <c r="E1393" s="631"/>
      <c r="F1393" s="631"/>
      <c r="G1393" s="631"/>
      <c r="H1393" s="833"/>
      <c r="I1393" s="834"/>
      <c r="J1393" s="834"/>
      <c r="K1393" s="835"/>
      <c r="L1393" s="835"/>
      <c r="M1393" s="835"/>
      <c r="N1393" s="835"/>
      <c r="O1393" s="835"/>
      <c r="P1393" s="835"/>
      <c r="Q1393" s="540"/>
      <c r="R1393" s="540"/>
      <c r="S1393" s="540"/>
      <c r="T1393" s="540"/>
      <c r="U1393" s="540"/>
      <c r="V1393" s="540"/>
      <c r="W1393" s="540"/>
      <c r="X1393" s="540"/>
      <c r="Y1393" s="540"/>
      <c r="Z1393" s="540"/>
    </row>
    <row r="1394" spans="1:26" ht="19">
      <c r="A1394" s="631"/>
      <c r="B1394" s="631"/>
      <c r="C1394" s="631"/>
      <c r="D1394" s="832"/>
      <c r="E1394" s="631"/>
      <c r="F1394" s="631"/>
      <c r="G1394" s="631"/>
      <c r="H1394" s="833"/>
      <c r="I1394" s="834"/>
      <c r="J1394" s="834"/>
      <c r="K1394" s="835"/>
      <c r="L1394" s="835"/>
      <c r="M1394" s="835"/>
      <c r="N1394" s="835"/>
      <c r="O1394" s="835"/>
      <c r="P1394" s="835"/>
      <c r="Q1394" s="540"/>
      <c r="R1394" s="540"/>
      <c r="S1394" s="540"/>
      <c r="T1394" s="540"/>
      <c r="U1394" s="540"/>
      <c r="V1394" s="540"/>
      <c r="W1394" s="540"/>
      <c r="X1394" s="540"/>
      <c r="Y1394" s="540"/>
      <c r="Z1394" s="540"/>
    </row>
    <row r="1395" spans="1:26" ht="19">
      <c r="A1395" s="631"/>
      <c r="B1395" s="631"/>
      <c r="C1395" s="631"/>
      <c r="D1395" s="832"/>
      <c r="E1395" s="631"/>
      <c r="F1395" s="631"/>
      <c r="G1395" s="631"/>
      <c r="H1395" s="833"/>
      <c r="I1395" s="834"/>
      <c r="J1395" s="834"/>
      <c r="K1395" s="835"/>
      <c r="L1395" s="835"/>
      <c r="M1395" s="835"/>
      <c r="N1395" s="835"/>
      <c r="O1395" s="835"/>
      <c r="P1395" s="835"/>
      <c r="Q1395" s="540"/>
      <c r="R1395" s="540"/>
      <c r="S1395" s="540"/>
      <c r="T1395" s="540"/>
      <c r="U1395" s="540"/>
      <c r="V1395" s="540"/>
      <c r="W1395" s="540"/>
      <c r="X1395" s="540"/>
      <c r="Y1395" s="540"/>
      <c r="Z1395" s="540"/>
    </row>
    <row r="1396" spans="1:26" ht="19">
      <c r="A1396" s="631"/>
      <c r="B1396" s="631"/>
      <c r="C1396" s="631"/>
      <c r="D1396" s="832"/>
      <c r="E1396" s="631"/>
      <c r="F1396" s="631"/>
      <c r="G1396" s="631"/>
      <c r="H1396" s="833"/>
      <c r="I1396" s="834"/>
      <c r="J1396" s="834"/>
      <c r="K1396" s="835"/>
      <c r="L1396" s="835"/>
      <c r="M1396" s="835"/>
      <c r="N1396" s="835"/>
      <c r="O1396" s="835"/>
      <c r="P1396" s="835"/>
      <c r="Q1396" s="540"/>
      <c r="R1396" s="540"/>
      <c r="S1396" s="540"/>
      <c r="T1396" s="540"/>
      <c r="U1396" s="540"/>
      <c r="V1396" s="540"/>
      <c r="W1396" s="540"/>
      <c r="X1396" s="540"/>
      <c r="Y1396" s="540"/>
      <c r="Z1396" s="540"/>
    </row>
    <row r="1397" spans="1:26" ht="19">
      <c r="A1397" s="631"/>
      <c r="B1397" s="631"/>
      <c r="C1397" s="631"/>
      <c r="D1397" s="832"/>
      <c r="E1397" s="631"/>
      <c r="F1397" s="631"/>
      <c r="G1397" s="631"/>
      <c r="H1397" s="833"/>
      <c r="I1397" s="834"/>
      <c r="J1397" s="834"/>
      <c r="K1397" s="835"/>
      <c r="L1397" s="835"/>
      <c r="M1397" s="835"/>
      <c r="N1397" s="835"/>
      <c r="O1397" s="835"/>
      <c r="P1397" s="835"/>
      <c r="Q1397" s="540"/>
      <c r="R1397" s="540"/>
      <c r="S1397" s="540"/>
      <c r="T1397" s="540"/>
      <c r="U1397" s="540"/>
      <c r="V1397" s="540"/>
      <c r="W1397" s="540"/>
      <c r="X1397" s="540"/>
      <c r="Y1397" s="540"/>
      <c r="Z1397" s="540"/>
    </row>
    <row r="1398" spans="1:26" ht="19">
      <c r="A1398" s="631"/>
      <c r="B1398" s="631"/>
      <c r="C1398" s="631"/>
      <c r="D1398" s="832"/>
      <c r="E1398" s="631"/>
      <c r="F1398" s="631"/>
      <c r="G1398" s="631"/>
      <c r="H1398" s="833"/>
      <c r="I1398" s="834"/>
      <c r="J1398" s="834"/>
      <c r="K1398" s="835"/>
      <c r="L1398" s="835"/>
      <c r="M1398" s="835"/>
      <c r="N1398" s="835"/>
      <c r="O1398" s="835"/>
      <c r="P1398" s="835"/>
      <c r="Q1398" s="540"/>
      <c r="R1398" s="540"/>
      <c r="S1398" s="540"/>
      <c r="T1398" s="540"/>
      <c r="U1398" s="540"/>
      <c r="V1398" s="540"/>
      <c r="W1398" s="540"/>
      <c r="X1398" s="540"/>
      <c r="Y1398" s="540"/>
      <c r="Z1398" s="540"/>
    </row>
    <row r="1399" spans="1:26" ht="19">
      <c r="A1399" s="631"/>
      <c r="B1399" s="631"/>
      <c r="C1399" s="631"/>
      <c r="D1399" s="832"/>
      <c r="E1399" s="631"/>
      <c r="F1399" s="631"/>
      <c r="G1399" s="631"/>
      <c r="H1399" s="833"/>
      <c r="I1399" s="834"/>
      <c r="J1399" s="834"/>
      <c r="K1399" s="835"/>
      <c r="L1399" s="835"/>
      <c r="M1399" s="835"/>
      <c r="N1399" s="835"/>
      <c r="O1399" s="835"/>
      <c r="P1399" s="835"/>
      <c r="Q1399" s="540"/>
      <c r="R1399" s="540"/>
      <c r="S1399" s="540"/>
      <c r="T1399" s="540"/>
      <c r="U1399" s="540"/>
      <c r="V1399" s="540"/>
      <c r="W1399" s="540"/>
      <c r="X1399" s="540"/>
      <c r="Y1399" s="540"/>
      <c r="Z1399" s="540"/>
    </row>
    <row r="1400" spans="1:26" ht="19">
      <c r="A1400" s="631"/>
      <c r="B1400" s="631"/>
      <c r="C1400" s="631"/>
      <c r="D1400" s="832"/>
      <c r="E1400" s="631"/>
      <c r="F1400" s="631"/>
      <c r="G1400" s="631"/>
      <c r="H1400" s="833"/>
      <c r="I1400" s="834"/>
      <c r="J1400" s="834"/>
      <c r="K1400" s="835"/>
      <c r="L1400" s="835"/>
      <c r="M1400" s="835"/>
      <c r="N1400" s="835"/>
      <c r="O1400" s="835"/>
      <c r="P1400" s="835"/>
      <c r="Q1400" s="540"/>
      <c r="R1400" s="540"/>
      <c r="S1400" s="540"/>
      <c r="T1400" s="540"/>
      <c r="U1400" s="540"/>
      <c r="V1400" s="540"/>
      <c r="W1400" s="540"/>
      <c r="X1400" s="540"/>
      <c r="Y1400" s="540"/>
      <c r="Z1400" s="540"/>
    </row>
    <row r="1401" spans="1:26" ht="19">
      <c r="A1401" s="631"/>
      <c r="B1401" s="631"/>
      <c r="C1401" s="631"/>
      <c r="D1401" s="832"/>
      <c r="E1401" s="631"/>
      <c r="F1401" s="631"/>
      <c r="G1401" s="631"/>
      <c r="H1401" s="833"/>
      <c r="I1401" s="834"/>
      <c r="J1401" s="834"/>
      <c r="K1401" s="835"/>
      <c r="L1401" s="835"/>
      <c r="M1401" s="835"/>
      <c r="N1401" s="835"/>
      <c r="O1401" s="835"/>
      <c r="P1401" s="835"/>
      <c r="Q1401" s="540"/>
      <c r="R1401" s="540"/>
      <c r="S1401" s="540"/>
      <c r="T1401" s="540"/>
      <c r="U1401" s="540"/>
      <c r="V1401" s="540"/>
      <c r="W1401" s="540"/>
      <c r="X1401" s="540"/>
      <c r="Y1401" s="540"/>
      <c r="Z1401" s="540"/>
    </row>
    <row r="1402" spans="1:26" ht="19">
      <c r="A1402" s="631"/>
      <c r="B1402" s="631"/>
      <c r="C1402" s="631"/>
      <c r="D1402" s="832"/>
      <c r="E1402" s="631"/>
      <c r="F1402" s="631"/>
      <c r="G1402" s="631"/>
      <c r="H1402" s="833"/>
      <c r="I1402" s="834"/>
      <c r="J1402" s="834"/>
      <c r="K1402" s="835"/>
      <c r="L1402" s="835"/>
      <c r="M1402" s="835"/>
      <c r="N1402" s="835"/>
      <c r="O1402" s="835"/>
      <c r="P1402" s="835"/>
      <c r="Q1402" s="540"/>
      <c r="R1402" s="540"/>
      <c r="S1402" s="540"/>
      <c r="T1402" s="540"/>
      <c r="U1402" s="540"/>
      <c r="V1402" s="540"/>
      <c r="W1402" s="540"/>
      <c r="X1402" s="540"/>
      <c r="Y1402" s="540"/>
      <c r="Z1402" s="540"/>
    </row>
    <row r="1403" spans="1:26" ht="19">
      <c r="A1403" s="631"/>
      <c r="B1403" s="631"/>
      <c r="C1403" s="631"/>
      <c r="D1403" s="832"/>
      <c r="E1403" s="631"/>
      <c r="F1403" s="631"/>
      <c r="G1403" s="631"/>
      <c r="H1403" s="833"/>
      <c r="I1403" s="834"/>
      <c r="J1403" s="834"/>
      <c r="K1403" s="835"/>
      <c r="L1403" s="835"/>
      <c r="M1403" s="835"/>
      <c r="N1403" s="835"/>
      <c r="O1403" s="835"/>
      <c r="P1403" s="835"/>
      <c r="Q1403" s="540"/>
      <c r="R1403" s="540"/>
      <c r="S1403" s="540"/>
      <c r="T1403" s="540"/>
      <c r="U1403" s="540"/>
      <c r="V1403" s="540"/>
      <c r="W1403" s="540"/>
      <c r="X1403" s="540"/>
      <c r="Y1403" s="540"/>
      <c r="Z1403" s="540"/>
    </row>
    <row r="1404" spans="1:26" ht="19">
      <c r="A1404" s="631"/>
      <c r="B1404" s="631"/>
      <c r="C1404" s="631"/>
      <c r="D1404" s="832"/>
      <c r="E1404" s="631"/>
      <c r="F1404" s="631"/>
      <c r="G1404" s="631"/>
      <c r="H1404" s="833"/>
      <c r="I1404" s="834"/>
      <c r="J1404" s="834"/>
      <c r="K1404" s="835"/>
      <c r="L1404" s="835"/>
      <c r="M1404" s="835"/>
      <c r="N1404" s="835"/>
      <c r="O1404" s="835"/>
      <c r="P1404" s="835"/>
      <c r="Q1404" s="540"/>
      <c r="R1404" s="540"/>
      <c r="S1404" s="540"/>
      <c r="T1404" s="540"/>
      <c r="U1404" s="540"/>
      <c r="V1404" s="540"/>
      <c r="W1404" s="540"/>
      <c r="X1404" s="540"/>
      <c r="Y1404" s="540"/>
      <c r="Z1404" s="540"/>
    </row>
    <row r="1405" spans="1:26" ht="19">
      <c r="A1405" s="631"/>
      <c r="B1405" s="631"/>
      <c r="C1405" s="631"/>
      <c r="D1405" s="832"/>
      <c r="E1405" s="631"/>
      <c r="F1405" s="631"/>
      <c r="G1405" s="631"/>
      <c r="H1405" s="833"/>
      <c r="I1405" s="834"/>
      <c r="J1405" s="834"/>
      <c r="K1405" s="835"/>
      <c r="L1405" s="835"/>
      <c r="M1405" s="835"/>
      <c r="N1405" s="835"/>
      <c r="O1405" s="835"/>
      <c r="P1405" s="835"/>
      <c r="Q1405" s="540"/>
      <c r="R1405" s="540"/>
      <c r="S1405" s="540"/>
      <c r="T1405" s="540"/>
      <c r="U1405" s="540"/>
      <c r="V1405" s="540"/>
      <c r="W1405" s="540"/>
      <c r="X1405" s="540"/>
      <c r="Y1405" s="540"/>
      <c r="Z1405" s="540"/>
    </row>
    <row r="1406" spans="1:26" ht="19">
      <c r="A1406" s="631"/>
      <c r="B1406" s="631"/>
      <c r="C1406" s="631"/>
      <c r="D1406" s="832"/>
      <c r="E1406" s="631"/>
      <c r="F1406" s="631"/>
      <c r="G1406" s="631"/>
      <c r="H1406" s="833"/>
      <c r="I1406" s="834"/>
      <c r="J1406" s="834"/>
      <c r="K1406" s="835"/>
      <c r="L1406" s="835"/>
      <c r="M1406" s="835"/>
      <c r="N1406" s="835"/>
      <c r="O1406" s="835"/>
      <c r="P1406" s="835"/>
      <c r="Q1406" s="540"/>
      <c r="R1406" s="540"/>
      <c r="S1406" s="540"/>
      <c r="T1406" s="540"/>
      <c r="U1406" s="540"/>
      <c r="V1406" s="540"/>
      <c r="W1406" s="540"/>
      <c r="X1406" s="540"/>
      <c r="Y1406" s="540"/>
      <c r="Z1406" s="540"/>
    </row>
    <row r="1407" spans="1:26" ht="19">
      <c r="A1407" s="631"/>
      <c r="B1407" s="631"/>
      <c r="C1407" s="631"/>
      <c r="D1407" s="832"/>
      <c r="E1407" s="631"/>
      <c r="F1407" s="631"/>
      <c r="G1407" s="631"/>
      <c r="H1407" s="833"/>
      <c r="I1407" s="834"/>
      <c r="J1407" s="834"/>
      <c r="K1407" s="835"/>
      <c r="L1407" s="835"/>
      <c r="M1407" s="835"/>
      <c r="N1407" s="835"/>
      <c r="O1407" s="835"/>
      <c r="P1407" s="835"/>
      <c r="Q1407" s="540"/>
      <c r="R1407" s="540"/>
      <c r="S1407" s="540"/>
      <c r="T1407" s="540"/>
      <c r="U1407" s="540"/>
      <c r="V1407" s="540"/>
      <c r="W1407" s="540"/>
      <c r="X1407" s="540"/>
      <c r="Y1407" s="540"/>
      <c r="Z1407" s="540"/>
    </row>
    <row r="1408" spans="1:26" ht="19">
      <c r="A1408" s="631"/>
      <c r="B1408" s="631"/>
      <c r="C1408" s="631"/>
      <c r="D1408" s="832"/>
      <c r="E1408" s="631"/>
      <c r="F1408" s="631"/>
      <c r="G1408" s="631"/>
      <c r="H1408" s="833"/>
      <c r="I1408" s="834"/>
      <c r="J1408" s="834"/>
      <c r="K1408" s="835"/>
      <c r="L1408" s="835"/>
      <c r="M1408" s="835"/>
      <c r="N1408" s="835"/>
      <c r="O1408" s="835"/>
      <c r="P1408" s="835"/>
      <c r="Q1408" s="540"/>
      <c r="R1408" s="540"/>
      <c r="S1408" s="540"/>
      <c r="T1408" s="540"/>
      <c r="U1408" s="540"/>
      <c r="V1408" s="540"/>
      <c r="W1408" s="540"/>
      <c r="X1408" s="540"/>
      <c r="Y1408" s="540"/>
      <c r="Z1408" s="540"/>
    </row>
    <row r="1409" spans="1:26" ht="19">
      <c r="A1409" s="631"/>
      <c r="B1409" s="631"/>
      <c r="C1409" s="631"/>
      <c r="D1409" s="832"/>
      <c r="E1409" s="631"/>
      <c r="F1409" s="631"/>
      <c r="G1409" s="631"/>
      <c r="H1409" s="833"/>
      <c r="I1409" s="834"/>
      <c r="J1409" s="834"/>
      <c r="K1409" s="835"/>
      <c r="L1409" s="835"/>
      <c r="M1409" s="835"/>
      <c r="N1409" s="835"/>
      <c r="O1409" s="835"/>
      <c r="P1409" s="835"/>
      <c r="Q1409" s="540"/>
      <c r="R1409" s="540"/>
      <c r="S1409" s="540"/>
      <c r="T1409" s="540"/>
      <c r="U1409" s="540"/>
      <c r="V1409" s="540"/>
      <c r="W1409" s="540"/>
      <c r="X1409" s="540"/>
      <c r="Y1409" s="540"/>
      <c r="Z1409" s="540"/>
    </row>
    <row r="1410" spans="1:26" ht="19">
      <c r="A1410" s="631"/>
      <c r="B1410" s="631"/>
      <c r="C1410" s="631"/>
      <c r="D1410" s="832"/>
      <c r="E1410" s="631"/>
      <c r="F1410" s="631"/>
      <c r="G1410" s="631"/>
      <c r="H1410" s="833"/>
      <c r="I1410" s="834"/>
      <c r="J1410" s="834"/>
      <c r="K1410" s="835"/>
      <c r="L1410" s="835"/>
      <c r="M1410" s="835"/>
      <c r="N1410" s="835"/>
      <c r="O1410" s="835"/>
      <c r="P1410" s="835"/>
      <c r="Q1410" s="540"/>
      <c r="R1410" s="540"/>
      <c r="S1410" s="540"/>
      <c r="T1410" s="540"/>
      <c r="U1410" s="540"/>
      <c r="V1410" s="540"/>
      <c r="W1410" s="540"/>
      <c r="X1410" s="540"/>
      <c r="Y1410" s="540"/>
      <c r="Z1410" s="540"/>
    </row>
    <row r="1411" spans="1:26" ht="19">
      <c r="A1411" s="631"/>
      <c r="B1411" s="631"/>
      <c r="C1411" s="631"/>
      <c r="D1411" s="832"/>
      <c r="E1411" s="631"/>
      <c r="F1411" s="631"/>
      <c r="G1411" s="631"/>
      <c r="H1411" s="833"/>
      <c r="I1411" s="834"/>
      <c r="J1411" s="834"/>
      <c r="K1411" s="835"/>
      <c r="L1411" s="835"/>
      <c r="M1411" s="835"/>
      <c r="N1411" s="835"/>
      <c r="O1411" s="835"/>
      <c r="P1411" s="835"/>
      <c r="Q1411" s="540"/>
      <c r="R1411" s="540"/>
      <c r="S1411" s="540"/>
      <c r="T1411" s="540"/>
      <c r="U1411" s="540"/>
      <c r="V1411" s="540"/>
      <c r="W1411" s="540"/>
      <c r="X1411" s="540"/>
      <c r="Y1411" s="540"/>
      <c r="Z1411" s="540"/>
    </row>
    <row r="1412" spans="1:26" ht="19">
      <c r="A1412" s="631"/>
      <c r="B1412" s="631"/>
      <c r="C1412" s="631"/>
      <c r="D1412" s="832"/>
      <c r="E1412" s="631"/>
      <c r="F1412" s="631"/>
      <c r="G1412" s="631"/>
      <c r="H1412" s="833"/>
      <c r="I1412" s="834"/>
      <c r="J1412" s="834"/>
      <c r="K1412" s="835"/>
      <c r="L1412" s="835"/>
      <c r="M1412" s="835"/>
      <c r="N1412" s="835"/>
      <c r="O1412" s="835"/>
      <c r="P1412" s="835"/>
      <c r="Q1412" s="540"/>
      <c r="R1412" s="540"/>
      <c r="S1412" s="540"/>
      <c r="T1412" s="540"/>
      <c r="U1412" s="540"/>
      <c r="V1412" s="540"/>
      <c r="W1412" s="540"/>
      <c r="X1412" s="540"/>
      <c r="Y1412" s="540"/>
      <c r="Z1412" s="540"/>
    </row>
    <row r="1413" spans="1:26" ht="19">
      <c r="A1413" s="631"/>
      <c r="B1413" s="631"/>
      <c r="C1413" s="631"/>
      <c r="D1413" s="832"/>
      <c r="E1413" s="631"/>
      <c r="F1413" s="631"/>
      <c r="G1413" s="631"/>
      <c r="H1413" s="833"/>
      <c r="I1413" s="834"/>
      <c r="J1413" s="834"/>
      <c r="K1413" s="835"/>
      <c r="L1413" s="835"/>
      <c r="M1413" s="835"/>
      <c r="N1413" s="835"/>
      <c r="O1413" s="835"/>
      <c r="P1413" s="835"/>
      <c r="Q1413" s="540"/>
      <c r="R1413" s="540"/>
      <c r="S1413" s="540"/>
      <c r="T1413" s="540"/>
      <c r="U1413" s="540"/>
      <c r="V1413" s="540"/>
      <c r="W1413" s="540"/>
      <c r="X1413" s="540"/>
      <c r="Y1413" s="540"/>
      <c r="Z1413" s="540"/>
    </row>
    <row r="1414" spans="1:26" ht="19">
      <c r="A1414" s="631"/>
      <c r="B1414" s="631"/>
      <c r="C1414" s="631"/>
      <c r="D1414" s="832"/>
      <c r="E1414" s="631"/>
      <c r="F1414" s="631"/>
      <c r="G1414" s="631"/>
      <c r="H1414" s="833"/>
      <c r="I1414" s="834"/>
      <c r="J1414" s="834"/>
      <c r="K1414" s="835"/>
      <c r="L1414" s="835"/>
      <c r="M1414" s="835"/>
      <c r="N1414" s="835"/>
      <c r="O1414" s="835"/>
      <c r="P1414" s="835"/>
      <c r="Q1414" s="540"/>
      <c r="R1414" s="540"/>
      <c r="S1414" s="540"/>
      <c r="T1414" s="540"/>
      <c r="U1414" s="540"/>
      <c r="V1414" s="540"/>
      <c r="W1414" s="540"/>
      <c r="X1414" s="540"/>
      <c r="Y1414" s="540"/>
      <c r="Z1414" s="540"/>
    </row>
    <row r="1415" spans="1:26" ht="19">
      <c r="A1415" s="631"/>
      <c r="B1415" s="631"/>
      <c r="C1415" s="631"/>
      <c r="D1415" s="832"/>
      <c r="E1415" s="631"/>
      <c r="F1415" s="631"/>
      <c r="G1415" s="631"/>
      <c r="H1415" s="833"/>
      <c r="I1415" s="834"/>
      <c r="J1415" s="834"/>
      <c r="K1415" s="835"/>
      <c r="L1415" s="835"/>
      <c r="M1415" s="835"/>
      <c r="N1415" s="835"/>
      <c r="O1415" s="835"/>
      <c r="P1415" s="835"/>
      <c r="Q1415" s="540"/>
      <c r="R1415" s="540"/>
      <c r="S1415" s="540"/>
      <c r="T1415" s="540"/>
      <c r="U1415" s="540"/>
      <c r="V1415" s="540"/>
      <c r="W1415" s="540"/>
      <c r="X1415" s="540"/>
      <c r="Y1415" s="540"/>
      <c r="Z1415" s="540"/>
    </row>
    <row r="1416" spans="1:26" ht="19">
      <c r="A1416" s="631"/>
      <c r="B1416" s="631"/>
      <c r="C1416" s="631"/>
      <c r="D1416" s="832"/>
      <c r="E1416" s="631"/>
      <c r="F1416" s="631"/>
      <c r="G1416" s="631"/>
      <c r="H1416" s="833"/>
      <c r="I1416" s="834"/>
      <c r="J1416" s="834"/>
      <c r="K1416" s="835"/>
      <c r="L1416" s="835"/>
      <c r="M1416" s="835"/>
      <c r="N1416" s="835"/>
      <c r="O1416" s="835"/>
      <c r="P1416" s="835"/>
      <c r="Q1416" s="540"/>
      <c r="R1416" s="540"/>
      <c r="S1416" s="540"/>
      <c r="T1416" s="540"/>
      <c r="U1416" s="540"/>
      <c r="V1416" s="540"/>
      <c r="W1416" s="540"/>
      <c r="X1416" s="540"/>
      <c r="Y1416" s="540"/>
      <c r="Z1416" s="540"/>
    </row>
    <row r="1417" spans="1:26" ht="19">
      <c r="A1417" s="631"/>
      <c r="B1417" s="631"/>
      <c r="C1417" s="631"/>
      <c r="D1417" s="832"/>
      <c r="E1417" s="631"/>
      <c r="F1417" s="631"/>
      <c r="G1417" s="631"/>
      <c r="H1417" s="833"/>
      <c r="I1417" s="834"/>
      <c r="J1417" s="834"/>
      <c r="K1417" s="835"/>
      <c r="L1417" s="835"/>
      <c r="M1417" s="835"/>
      <c r="N1417" s="835"/>
      <c r="O1417" s="835"/>
      <c r="P1417" s="835"/>
      <c r="Q1417" s="540"/>
      <c r="R1417" s="540"/>
      <c r="S1417" s="540"/>
      <c r="T1417" s="540"/>
      <c r="U1417" s="540"/>
      <c r="V1417" s="540"/>
      <c r="W1417" s="540"/>
      <c r="X1417" s="540"/>
      <c r="Y1417" s="540"/>
      <c r="Z1417" s="540"/>
    </row>
    <row r="1418" spans="1:26" ht="19">
      <c r="A1418" s="631"/>
      <c r="B1418" s="631"/>
      <c r="C1418" s="631"/>
      <c r="D1418" s="832"/>
      <c r="E1418" s="631"/>
      <c r="F1418" s="631"/>
      <c r="G1418" s="631"/>
      <c r="H1418" s="833"/>
      <c r="I1418" s="834"/>
      <c r="J1418" s="834"/>
      <c r="K1418" s="835"/>
      <c r="L1418" s="835"/>
      <c r="M1418" s="835"/>
      <c r="N1418" s="835"/>
      <c r="O1418" s="835"/>
      <c r="P1418" s="835"/>
      <c r="Q1418" s="540"/>
      <c r="R1418" s="540"/>
      <c r="S1418" s="540"/>
      <c r="T1418" s="540"/>
      <c r="U1418" s="540"/>
      <c r="V1418" s="540"/>
      <c r="W1418" s="540"/>
      <c r="X1418" s="540"/>
      <c r="Y1418" s="540"/>
      <c r="Z1418" s="540"/>
    </row>
    <row r="1419" spans="1:26" ht="19">
      <c r="A1419" s="631"/>
      <c r="B1419" s="631"/>
      <c r="C1419" s="631"/>
      <c r="D1419" s="832"/>
      <c r="E1419" s="631"/>
      <c r="F1419" s="631"/>
      <c r="G1419" s="631"/>
      <c r="H1419" s="833"/>
      <c r="I1419" s="834"/>
      <c r="J1419" s="834"/>
      <c r="K1419" s="835"/>
      <c r="L1419" s="835"/>
      <c r="M1419" s="835"/>
      <c r="N1419" s="835"/>
      <c r="O1419" s="835"/>
      <c r="P1419" s="835"/>
      <c r="Q1419" s="540"/>
      <c r="R1419" s="540"/>
      <c r="S1419" s="540"/>
      <c r="T1419" s="540"/>
      <c r="U1419" s="540"/>
      <c r="V1419" s="540"/>
      <c r="W1419" s="540"/>
      <c r="X1419" s="540"/>
      <c r="Y1419" s="540"/>
      <c r="Z1419" s="540"/>
    </row>
    <row r="1420" spans="1:26" ht="19">
      <c r="A1420" s="631"/>
      <c r="B1420" s="631"/>
      <c r="C1420" s="631"/>
      <c r="D1420" s="832"/>
      <c r="E1420" s="631"/>
      <c r="F1420" s="631"/>
      <c r="G1420" s="631"/>
      <c r="H1420" s="833"/>
      <c r="I1420" s="834"/>
      <c r="J1420" s="834"/>
      <c r="K1420" s="835"/>
      <c r="L1420" s="835"/>
      <c r="M1420" s="835"/>
      <c r="N1420" s="835"/>
      <c r="O1420" s="835"/>
      <c r="P1420" s="835"/>
      <c r="Q1420" s="540"/>
      <c r="R1420" s="540"/>
      <c r="S1420" s="540"/>
      <c r="T1420" s="540"/>
      <c r="U1420" s="540"/>
      <c r="V1420" s="540"/>
      <c r="W1420" s="540"/>
      <c r="X1420" s="540"/>
      <c r="Y1420" s="540"/>
      <c r="Z1420" s="540"/>
    </row>
    <row r="1421" spans="1:26" ht="19">
      <c r="A1421" s="631"/>
      <c r="B1421" s="631"/>
      <c r="C1421" s="631"/>
      <c r="D1421" s="832"/>
      <c r="E1421" s="631"/>
      <c r="F1421" s="631"/>
      <c r="G1421" s="631"/>
      <c r="H1421" s="833"/>
      <c r="I1421" s="834"/>
      <c r="J1421" s="834"/>
      <c r="K1421" s="835"/>
      <c r="L1421" s="835"/>
      <c r="M1421" s="835"/>
      <c r="N1421" s="835"/>
      <c r="O1421" s="835"/>
      <c r="P1421" s="835"/>
      <c r="Q1421" s="540"/>
      <c r="R1421" s="540"/>
      <c r="S1421" s="540"/>
      <c r="T1421" s="540"/>
      <c r="U1421" s="540"/>
      <c r="V1421" s="540"/>
      <c r="W1421" s="540"/>
      <c r="X1421" s="540"/>
      <c r="Y1421" s="540"/>
      <c r="Z1421" s="540"/>
    </row>
    <row r="1422" spans="1:26" ht="19">
      <c r="A1422" s="631"/>
      <c r="B1422" s="631"/>
      <c r="C1422" s="631"/>
      <c r="D1422" s="832"/>
      <c r="E1422" s="631"/>
      <c r="F1422" s="631"/>
      <c r="G1422" s="631"/>
      <c r="H1422" s="833"/>
      <c r="I1422" s="834"/>
      <c r="J1422" s="834"/>
      <c r="K1422" s="835"/>
      <c r="L1422" s="835"/>
      <c r="M1422" s="835"/>
      <c r="N1422" s="835"/>
      <c r="O1422" s="835"/>
      <c r="P1422" s="835"/>
      <c r="Q1422" s="540"/>
      <c r="R1422" s="540"/>
      <c r="S1422" s="540"/>
      <c r="T1422" s="540"/>
      <c r="U1422" s="540"/>
      <c r="V1422" s="540"/>
      <c r="W1422" s="540"/>
      <c r="X1422" s="540"/>
      <c r="Y1422" s="540"/>
      <c r="Z1422" s="540"/>
    </row>
    <row r="1423" spans="1:26" ht="19">
      <c r="A1423" s="631"/>
      <c r="B1423" s="631"/>
      <c r="C1423" s="631"/>
      <c r="D1423" s="832"/>
      <c r="E1423" s="631"/>
      <c r="F1423" s="631"/>
      <c r="G1423" s="631"/>
      <c r="H1423" s="833"/>
      <c r="I1423" s="834"/>
      <c r="J1423" s="834"/>
      <c r="K1423" s="835"/>
      <c r="L1423" s="835"/>
      <c r="M1423" s="835"/>
      <c r="N1423" s="835"/>
      <c r="O1423" s="835"/>
      <c r="P1423" s="835"/>
      <c r="Q1423" s="540"/>
      <c r="R1423" s="540"/>
      <c r="S1423" s="540"/>
      <c r="T1423" s="540"/>
      <c r="U1423" s="540"/>
      <c r="V1423" s="540"/>
      <c r="W1423" s="540"/>
      <c r="X1423" s="540"/>
      <c r="Y1423" s="540"/>
      <c r="Z1423" s="540"/>
    </row>
    <row r="1424" spans="1:26" ht="19">
      <c r="A1424" s="631"/>
      <c r="B1424" s="631"/>
      <c r="C1424" s="631"/>
      <c r="D1424" s="832"/>
      <c r="E1424" s="631"/>
      <c r="F1424" s="631"/>
      <c r="G1424" s="631"/>
      <c r="H1424" s="833"/>
      <c r="I1424" s="834"/>
      <c r="J1424" s="834"/>
      <c r="K1424" s="835"/>
      <c r="L1424" s="835"/>
      <c r="M1424" s="835"/>
      <c r="N1424" s="835"/>
      <c r="O1424" s="835"/>
      <c r="P1424" s="835"/>
      <c r="Q1424" s="540"/>
      <c r="R1424" s="540"/>
      <c r="S1424" s="540"/>
      <c r="T1424" s="540"/>
      <c r="U1424" s="540"/>
      <c r="V1424" s="540"/>
      <c r="W1424" s="540"/>
      <c r="X1424" s="540"/>
      <c r="Y1424" s="540"/>
      <c r="Z1424" s="540"/>
    </row>
    <row r="1425" spans="1:26" ht="19">
      <c r="A1425" s="631"/>
      <c r="B1425" s="631"/>
      <c r="C1425" s="631"/>
      <c r="D1425" s="832"/>
      <c r="E1425" s="631"/>
      <c r="F1425" s="631"/>
      <c r="G1425" s="631"/>
      <c r="H1425" s="833"/>
      <c r="I1425" s="834"/>
      <c r="J1425" s="834"/>
      <c r="K1425" s="835"/>
      <c r="L1425" s="835"/>
      <c r="M1425" s="835"/>
      <c r="N1425" s="835"/>
      <c r="O1425" s="835"/>
      <c r="P1425" s="835"/>
      <c r="Q1425" s="540"/>
      <c r="R1425" s="540"/>
      <c r="S1425" s="540"/>
      <c r="T1425" s="540"/>
      <c r="U1425" s="540"/>
      <c r="V1425" s="540"/>
      <c r="W1425" s="540"/>
      <c r="X1425" s="540"/>
      <c r="Y1425" s="540"/>
      <c r="Z1425" s="540"/>
    </row>
    <row r="1426" spans="1:26" ht="19">
      <c r="A1426" s="631"/>
      <c r="B1426" s="631"/>
      <c r="C1426" s="631"/>
      <c r="D1426" s="832"/>
      <c r="E1426" s="631"/>
      <c r="F1426" s="631"/>
      <c r="G1426" s="631"/>
      <c r="H1426" s="833"/>
      <c r="I1426" s="834"/>
      <c r="J1426" s="834"/>
      <c r="K1426" s="835"/>
      <c r="L1426" s="835"/>
      <c r="M1426" s="835"/>
      <c r="N1426" s="835"/>
      <c r="O1426" s="835"/>
      <c r="P1426" s="835"/>
      <c r="Q1426" s="540"/>
      <c r="R1426" s="540"/>
      <c r="S1426" s="540"/>
      <c r="T1426" s="540"/>
      <c r="U1426" s="540"/>
      <c r="V1426" s="540"/>
      <c r="W1426" s="540"/>
      <c r="X1426" s="540"/>
      <c r="Y1426" s="540"/>
      <c r="Z1426" s="540"/>
    </row>
    <row r="1427" spans="1:26" ht="19">
      <c r="A1427" s="631"/>
      <c r="B1427" s="631"/>
      <c r="C1427" s="631"/>
      <c r="D1427" s="832"/>
      <c r="E1427" s="631"/>
      <c r="F1427" s="631"/>
      <c r="G1427" s="631"/>
      <c r="H1427" s="833"/>
      <c r="I1427" s="834"/>
      <c r="J1427" s="834"/>
      <c r="K1427" s="835"/>
      <c r="L1427" s="835"/>
      <c r="M1427" s="835"/>
      <c r="N1427" s="835"/>
      <c r="O1427" s="835"/>
      <c r="P1427" s="835"/>
      <c r="Q1427" s="540"/>
      <c r="R1427" s="540"/>
      <c r="S1427" s="540"/>
      <c r="T1427" s="540"/>
      <c r="U1427" s="540"/>
      <c r="V1427" s="540"/>
      <c r="W1427" s="540"/>
      <c r="X1427" s="540"/>
      <c r="Y1427" s="540"/>
      <c r="Z1427" s="540"/>
    </row>
    <row r="1428" spans="1:26" ht="19">
      <c r="A1428" s="631"/>
      <c r="B1428" s="631"/>
      <c r="C1428" s="631"/>
      <c r="D1428" s="832"/>
      <c r="E1428" s="631"/>
      <c r="F1428" s="631"/>
      <c r="G1428" s="631"/>
      <c r="H1428" s="833"/>
      <c r="I1428" s="834"/>
      <c r="J1428" s="834"/>
      <c r="K1428" s="835"/>
      <c r="L1428" s="835"/>
      <c r="M1428" s="835"/>
      <c r="N1428" s="835"/>
      <c r="O1428" s="835"/>
      <c r="P1428" s="835"/>
      <c r="Q1428" s="540"/>
      <c r="R1428" s="540"/>
      <c r="S1428" s="540"/>
      <c r="T1428" s="540"/>
      <c r="U1428" s="540"/>
      <c r="V1428" s="540"/>
      <c r="W1428" s="540"/>
      <c r="X1428" s="540"/>
      <c r="Y1428" s="540"/>
      <c r="Z1428" s="540"/>
    </row>
    <row r="1429" spans="1:26" ht="19">
      <c r="A1429" s="631"/>
      <c r="B1429" s="631"/>
      <c r="C1429" s="631"/>
      <c r="D1429" s="832"/>
      <c r="E1429" s="631"/>
      <c r="F1429" s="631"/>
      <c r="G1429" s="631"/>
      <c r="H1429" s="833"/>
      <c r="I1429" s="834"/>
      <c r="J1429" s="834"/>
      <c r="K1429" s="835"/>
      <c r="L1429" s="835"/>
      <c r="M1429" s="835"/>
      <c r="N1429" s="835"/>
      <c r="O1429" s="835"/>
      <c r="P1429" s="835"/>
      <c r="Q1429" s="540"/>
      <c r="R1429" s="540"/>
      <c r="S1429" s="540"/>
      <c r="T1429" s="540"/>
      <c r="U1429" s="540"/>
      <c r="V1429" s="540"/>
      <c r="W1429" s="540"/>
      <c r="X1429" s="540"/>
      <c r="Y1429" s="540"/>
      <c r="Z1429" s="540"/>
    </row>
    <row r="1430" spans="1:26" ht="19">
      <c r="A1430" s="631"/>
      <c r="B1430" s="631"/>
      <c r="C1430" s="631"/>
      <c r="D1430" s="832"/>
      <c r="E1430" s="631"/>
      <c r="F1430" s="631"/>
      <c r="G1430" s="631"/>
      <c r="H1430" s="833"/>
      <c r="I1430" s="834"/>
      <c r="J1430" s="834"/>
      <c r="K1430" s="835"/>
      <c r="L1430" s="835"/>
      <c r="M1430" s="835"/>
      <c r="N1430" s="835"/>
      <c r="O1430" s="835"/>
      <c r="P1430" s="835"/>
      <c r="Q1430" s="540"/>
      <c r="R1430" s="540"/>
      <c r="S1430" s="540"/>
      <c r="T1430" s="540"/>
      <c r="U1430" s="540"/>
      <c r="V1430" s="540"/>
      <c r="W1430" s="540"/>
      <c r="X1430" s="540"/>
      <c r="Y1430" s="540"/>
      <c r="Z1430" s="540"/>
    </row>
    <row r="1431" spans="1:26" ht="19">
      <c r="A1431" s="631"/>
      <c r="B1431" s="631"/>
      <c r="C1431" s="631"/>
      <c r="D1431" s="832"/>
      <c r="E1431" s="631"/>
      <c r="F1431" s="631"/>
      <c r="G1431" s="631"/>
      <c r="H1431" s="833"/>
      <c r="I1431" s="834"/>
      <c r="J1431" s="834"/>
      <c r="K1431" s="835"/>
      <c r="L1431" s="835"/>
      <c r="M1431" s="835"/>
      <c r="N1431" s="835"/>
      <c r="O1431" s="835"/>
      <c r="P1431" s="835"/>
      <c r="Q1431" s="540"/>
      <c r="R1431" s="540"/>
      <c r="S1431" s="540"/>
      <c r="T1431" s="540"/>
      <c r="U1431" s="540"/>
      <c r="V1431" s="540"/>
      <c r="W1431" s="540"/>
      <c r="X1431" s="540"/>
      <c r="Y1431" s="540"/>
      <c r="Z1431" s="540"/>
    </row>
    <row r="1432" spans="1:26" ht="19">
      <c r="A1432" s="631"/>
      <c r="B1432" s="631"/>
      <c r="C1432" s="631"/>
      <c r="D1432" s="832"/>
      <c r="E1432" s="631"/>
      <c r="F1432" s="631"/>
      <c r="G1432" s="631"/>
      <c r="H1432" s="833"/>
      <c r="I1432" s="834"/>
      <c r="J1432" s="834"/>
      <c r="K1432" s="835"/>
      <c r="L1432" s="835"/>
      <c r="M1432" s="835"/>
      <c r="N1432" s="835"/>
      <c r="O1432" s="835"/>
      <c r="P1432" s="835"/>
      <c r="Q1432" s="540"/>
      <c r="R1432" s="540"/>
      <c r="S1432" s="540"/>
      <c r="T1432" s="540"/>
      <c r="U1432" s="540"/>
      <c r="V1432" s="540"/>
      <c r="W1432" s="540"/>
      <c r="X1432" s="540"/>
      <c r="Y1432" s="540"/>
      <c r="Z1432" s="540"/>
    </row>
    <row r="1433" spans="1:26" ht="19">
      <c r="A1433" s="631"/>
      <c r="B1433" s="631"/>
      <c r="C1433" s="631"/>
      <c r="D1433" s="832"/>
      <c r="E1433" s="631"/>
      <c r="F1433" s="631"/>
      <c r="G1433" s="631"/>
      <c r="H1433" s="833"/>
      <c r="I1433" s="834"/>
      <c r="J1433" s="834"/>
      <c r="K1433" s="835"/>
      <c r="L1433" s="835"/>
      <c r="M1433" s="835"/>
      <c r="N1433" s="835"/>
      <c r="O1433" s="835"/>
      <c r="P1433" s="835"/>
      <c r="Q1433" s="540"/>
      <c r="R1433" s="540"/>
      <c r="S1433" s="540"/>
      <c r="T1433" s="540"/>
      <c r="U1433" s="540"/>
      <c r="V1433" s="540"/>
      <c r="W1433" s="540"/>
      <c r="X1433" s="540"/>
      <c r="Y1433" s="540"/>
      <c r="Z1433" s="540"/>
    </row>
    <row r="1434" spans="1:26" ht="19">
      <c r="A1434" s="631"/>
      <c r="B1434" s="631"/>
      <c r="C1434" s="631"/>
      <c r="D1434" s="832"/>
      <c r="E1434" s="631"/>
      <c r="F1434" s="631"/>
      <c r="G1434" s="631"/>
      <c r="H1434" s="833"/>
      <c r="I1434" s="834"/>
      <c r="J1434" s="834"/>
      <c r="K1434" s="835"/>
      <c r="L1434" s="835"/>
      <c r="M1434" s="835"/>
      <c r="N1434" s="835"/>
      <c r="O1434" s="835"/>
      <c r="P1434" s="835"/>
      <c r="Q1434" s="540"/>
      <c r="R1434" s="540"/>
      <c r="S1434" s="540"/>
      <c r="T1434" s="540"/>
      <c r="U1434" s="540"/>
      <c r="V1434" s="540"/>
      <c r="W1434" s="540"/>
      <c r="X1434" s="540"/>
      <c r="Y1434" s="540"/>
      <c r="Z1434" s="540"/>
    </row>
    <row r="1435" spans="1:26" ht="19">
      <c r="A1435" s="631"/>
      <c r="B1435" s="631"/>
      <c r="C1435" s="631"/>
      <c r="D1435" s="832"/>
      <c r="E1435" s="631"/>
      <c r="F1435" s="631"/>
      <c r="G1435" s="631"/>
      <c r="H1435" s="833"/>
      <c r="I1435" s="834"/>
      <c r="J1435" s="834"/>
      <c r="K1435" s="835"/>
      <c r="L1435" s="835"/>
      <c r="M1435" s="835"/>
      <c r="N1435" s="835"/>
      <c r="O1435" s="835"/>
      <c r="P1435" s="835"/>
      <c r="Q1435" s="540"/>
      <c r="R1435" s="540"/>
      <c r="S1435" s="540"/>
      <c r="T1435" s="540"/>
      <c r="U1435" s="540"/>
      <c r="V1435" s="540"/>
      <c r="W1435" s="540"/>
      <c r="X1435" s="540"/>
      <c r="Y1435" s="540"/>
      <c r="Z1435" s="540"/>
    </row>
    <row r="1436" spans="1:26" ht="19">
      <c r="A1436" s="631"/>
      <c r="B1436" s="631"/>
      <c r="C1436" s="631"/>
      <c r="D1436" s="832"/>
      <c r="E1436" s="631"/>
      <c r="F1436" s="631"/>
      <c r="G1436" s="631"/>
      <c r="H1436" s="833"/>
      <c r="I1436" s="834"/>
      <c r="J1436" s="834"/>
      <c r="K1436" s="835"/>
      <c r="L1436" s="835"/>
      <c r="M1436" s="835"/>
      <c r="N1436" s="835"/>
      <c r="O1436" s="835"/>
      <c r="P1436" s="835"/>
      <c r="Q1436" s="540"/>
      <c r="R1436" s="540"/>
      <c r="S1436" s="540"/>
      <c r="T1436" s="540"/>
      <c r="U1436" s="540"/>
      <c r="V1436" s="540"/>
      <c r="W1436" s="540"/>
      <c r="X1436" s="540"/>
      <c r="Y1436" s="540"/>
      <c r="Z1436" s="540"/>
    </row>
    <row r="1437" spans="1:26" ht="19">
      <c r="A1437" s="631"/>
      <c r="B1437" s="631"/>
      <c r="C1437" s="631"/>
      <c r="D1437" s="832"/>
      <c r="E1437" s="631"/>
      <c r="F1437" s="631"/>
      <c r="G1437" s="631"/>
      <c r="H1437" s="833"/>
      <c r="I1437" s="834"/>
      <c r="J1437" s="834"/>
      <c r="K1437" s="835"/>
      <c r="L1437" s="835"/>
      <c r="M1437" s="835"/>
      <c r="N1437" s="835"/>
      <c r="O1437" s="835"/>
      <c r="P1437" s="835"/>
      <c r="Q1437" s="540"/>
      <c r="R1437" s="540"/>
      <c r="S1437" s="540"/>
      <c r="T1437" s="540"/>
      <c r="U1437" s="540"/>
      <c r="V1437" s="540"/>
      <c r="W1437" s="540"/>
      <c r="X1437" s="540"/>
      <c r="Y1437" s="540"/>
      <c r="Z1437" s="540"/>
    </row>
    <row r="1438" spans="1:26" ht="19">
      <c r="A1438" s="631"/>
      <c r="B1438" s="631"/>
      <c r="C1438" s="631"/>
      <c r="D1438" s="832"/>
      <c r="E1438" s="631"/>
      <c r="F1438" s="631"/>
      <c r="G1438" s="631"/>
      <c r="H1438" s="833"/>
      <c r="I1438" s="834"/>
      <c r="J1438" s="834"/>
      <c r="K1438" s="835"/>
      <c r="L1438" s="835"/>
      <c r="M1438" s="835"/>
      <c r="N1438" s="835"/>
      <c r="O1438" s="835"/>
      <c r="P1438" s="835"/>
      <c r="Q1438" s="540"/>
      <c r="R1438" s="540"/>
      <c r="S1438" s="540"/>
      <c r="T1438" s="540"/>
      <c r="U1438" s="540"/>
      <c r="V1438" s="540"/>
      <c r="W1438" s="540"/>
      <c r="X1438" s="540"/>
      <c r="Y1438" s="540"/>
      <c r="Z1438" s="540"/>
    </row>
    <row r="1439" spans="1:26" ht="19">
      <c r="A1439" s="631"/>
      <c r="B1439" s="631"/>
      <c r="C1439" s="631"/>
      <c r="D1439" s="832"/>
      <c r="E1439" s="631"/>
      <c r="F1439" s="631"/>
      <c r="G1439" s="631"/>
      <c r="H1439" s="833"/>
      <c r="I1439" s="834"/>
      <c r="J1439" s="834"/>
      <c r="K1439" s="835"/>
      <c r="L1439" s="835"/>
      <c r="M1439" s="835"/>
      <c r="N1439" s="835"/>
      <c r="O1439" s="835"/>
      <c r="P1439" s="835"/>
      <c r="Q1439" s="540"/>
      <c r="R1439" s="540"/>
      <c r="S1439" s="540"/>
      <c r="T1439" s="540"/>
      <c r="U1439" s="540"/>
      <c r="V1439" s="540"/>
      <c r="W1439" s="540"/>
      <c r="X1439" s="540"/>
      <c r="Y1439" s="540"/>
      <c r="Z1439" s="540"/>
    </row>
    <row r="1440" spans="1:26" ht="19">
      <c r="A1440" s="631"/>
      <c r="B1440" s="631"/>
      <c r="C1440" s="631"/>
      <c r="D1440" s="832"/>
      <c r="E1440" s="631"/>
      <c r="F1440" s="631"/>
      <c r="G1440" s="631"/>
      <c r="H1440" s="833"/>
      <c r="I1440" s="834"/>
      <c r="J1440" s="834"/>
      <c r="K1440" s="835"/>
      <c r="L1440" s="835"/>
      <c r="M1440" s="835"/>
      <c r="N1440" s="835"/>
      <c r="O1440" s="835"/>
      <c r="P1440" s="835"/>
      <c r="Q1440" s="540"/>
      <c r="R1440" s="540"/>
      <c r="S1440" s="540"/>
      <c r="T1440" s="540"/>
      <c r="U1440" s="540"/>
      <c r="V1440" s="540"/>
      <c r="W1440" s="540"/>
      <c r="X1440" s="540"/>
      <c r="Y1440" s="540"/>
      <c r="Z1440" s="540"/>
    </row>
    <row r="1441" spans="1:26" ht="19">
      <c r="A1441" s="631"/>
      <c r="B1441" s="631"/>
      <c r="C1441" s="631"/>
      <c r="D1441" s="832"/>
      <c r="E1441" s="631"/>
      <c r="F1441" s="631"/>
      <c r="G1441" s="631"/>
      <c r="H1441" s="833"/>
      <c r="I1441" s="834"/>
      <c r="J1441" s="834"/>
      <c r="K1441" s="835"/>
      <c r="L1441" s="835"/>
      <c r="M1441" s="835"/>
      <c r="N1441" s="835"/>
      <c r="O1441" s="835"/>
      <c r="P1441" s="835"/>
      <c r="Q1441" s="540"/>
      <c r="R1441" s="540"/>
      <c r="S1441" s="540"/>
      <c r="T1441" s="540"/>
      <c r="U1441" s="540"/>
      <c r="V1441" s="540"/>
      <c r="W1441" s="540"/>
      <c r="X1441" s="540"/>
      <c r="Y1441" s="540"/>
      <c r="Z1441" s="540"/>
    </row>
    <row r="1442" spans="1:26" ht="19">
      <c r="A1442" s="631"/>
      <c r="B1442" s="631"/>
      <c r="C1442" s="631"/>
      <c r="D1442" s="832"/>
      <c r="E1442" s="631"/>
      <c r="F1442" s="631"/>
      <c r="G1442" s="631"/>
      <c r="H1442" s="833"/>
      <c r="I1442" s="834"/>
      <c r="J1442" s="834"/>
      <c r="K1442" s="835"/>
      <c r="L1442" s="835"/>
      <c r="M1442" s="835"/>
      <c r="N1442" s="835"/>
      <c r="O1442" s="835"/>
      <c r="P1442" s="835"/>
      <c r="Q1442" s="540"/>
      <c r="R1442" s="540"/>
      <c r="S1442" s="540"/>
      <c r="T1442" s="540"/>
      <c r="U1442" s="540"/>
      <c r="V1442" s="540"/>
      <c r="W1442" s="540"/>
      <c r="X1442" s="540"/>
      <c r="Y1442" s="540"/>
      <c r="Z1442" s="540"/>
    </row>
    <row r="1443" spans="1:26" ht="19">
      <c r="A1443" s="631"/>
      <c r="B1443" s="631"/>
      <c r="C1443" s="631"/>
      <c r="D1443" s="832"/>
      <c r="E1443" s="631"/>
      <c r="F1443" s="631"/>
      <c r="G1443" s="631"/>
      <c r="H1443" s="833"/>
      <c r="I1443" s="834"/>
      <c r="J1443" s="834"/>
      <c r="K1443" s="835"/>
      <c r="L1443" s="835"/>
      <c r="M1443" s="835"/>
      <c r="N1443" s="835"/>
      <c r="O1443" s="835"/>
      <c r="P1443" s="835"/>
      <c r="Q1443" s="540"/>
      <c r="R1443" s="540"/>
      <c r="S1443" s="540"/>
      <c r="T1443" s="540"/>
      <c r="U1443" s="540"/>
      <c r="V1443" s="540"/>
      <c r="W1443" s="540"/>
      <c r="X1443" s="540"/>
      <c r="Y1443" s="540"/>
      <c r="Z1443" s="540"/>
    </row>
    <row r="1444" spans="1:26" ht="19">
      <c r="A1444" s="631"/>
      <c r="B1444" s="631"/>
      <c r="C1444" s="631"/>
      <c r="D1444" s="832"/>
      <c r="E1444" s="631"/>
      <c r="F1444" s="631"/>
      <c r="G1444" s="631"/>
      <c r="H1444" s="833"/>
      <c r="I1444" s="834"/>
      <c r="J1444" s="834"/>
      <c r="K1444" s="835"/>
      <c r="L1444" s="835"/>
      <c r="M1444" s="835"/>
      <c r="N1444" s="835"/>
      <c r="O1444" s="835"/>
      <c r="P1444" s="835"/>
      <c r="Q1444" s="540"/>
      <c r="R1444" s="540"/>
      <c r="S1444" s="540"/>
      <c r="T1444" s="540"/>
      <c r="U1444" s="540"/>
      <c r="V1444" s="540"/>
      <c r="W1444" s="540"/>
      <c r="X1444" s="540"/>
      <c r="Y1444" s="540"/>
      <c r="Z1444" s="540"/>
    </row>
    <row r="1445" spans="1:26" ht="19">
      <c r="A1445" s="631"/>
      <c r="B1445" s="631"/>
      <c r="C1445" s="631"/>
      <c r="D1445" s="832"/>
      <c r="E1445" s="631"/>
      <c r="F1445" s="631"/>
      <c r="G1445" s="631"/>
      <c r="H1445" s="833"/>
      <c r="I1445" s="834"/>
      <c r="J1445" s="834"/>
      <c r="K1445" s="835"/>
      <c r="L1445" s="835"/>
      <c r="M1445" s="835"/>
      <c r="N1445" s="835"/>
      <c r="O1445" s="835"/>
      <c r="P1445" s="835"/>
      <c r="Q1445" s="540"/>
      <c r="R1445" s="540"/>
      <c r="S1445" s="540"/>
      <c r="T1445" s="540"/>
      <c r="U1445" s="540"/>
      <c r="V1445" s="540"/>
      <c r="W1445" s="540"/>
      <c r="X1445" s="540"/>
      <c r="Y1445" s="540"/>
      <c r="Z1445" s="540"/>
    </row>
    <row r="1446" spans="1:26" ht="19">
      <c r="A1446" s="631"/>
      <c r="B1446" s="631"/>
      <c r="C1446" s="631"/>
      <c r="D1446" s="832"/>
      <c r="E1446" s="631"/>
      <c r="F1446" s="631"/>
      <c r="G1446" s="631"/>
      <c r="H1446" s="833"/>
      <c r="I1446" s="834"/>
      <c r="J1446" s="834"/>
      <c r="K1446" s="835"/>
      <c r="L1446" s="835"/>
      <c r="M1446" s="835"/>
      <c r="N1446" s="835"/>
      <c r="O1446" s="835"/>
      <c r="P1446" s="835"/>
      <c r="Q1446" s="540"/>
      <c r="R1446" s="540"/>
      <c r="S1446" s="540"/>
      <c r="T1446" s="540"/>
      <c r="U1446" s="540"/>
      <c r="V1446" s="540"/>
      <c r="W1446" s="540"/>
      <c r="X1446" s="540"/>
      <c r="Y1446" s="540"/>
      <c r="Z1446" s="540"/>
    </row>
    <row r="1447" spans="1:26" ht="19">
      <c r="A1447" s="631"/>
      <c r="B1447" s="631"/>
      <c r="C1447" s="631"/>
      <c r="D1447" s="832"/>
      <c r="E1447" s="631"/>
      <c r="F1447" s="631"/>
      <c r="G1447" s="631"/>
      <c r="H1447" s="833"/>
      <c r="I1447" s="834"/>
      <c r="J1447" s="834"/>
      <c r="K1447" s="835"/>
      <c r="L1447" s="835"/>
      <c r="M1447" s="835"/>
      <c r="N1447" s="835"/>
      <c r="O1447" s="835"/>
      <c r="P1447" s="835"/>
      <c r="Q1447" s="540"/>
      <c r="R1447" s="540"/>
      <c r="S1447" s="540"/>
      <c r="T1447" s="540"/>
      <c r="U1447" s="540"/>
      <c r="V1447" s="540"/>
      <c r="W1447" s="540"/>
      <c r="X1447" s="540"/>
      <c r="Y1447" s="540"/>
      <c r="Z1447" s="540"/>
    </row>
    <row r="1448" spans="1:26" ht="19">
      <c r="A1448" s="631"/>
      <c r="B1448" s="631"/>
      <c r="C1448" s="631"/>
      <c r="D1448" s="832"/>
      <c r="E1448" s="631"/>
      <c r="F1448" s="631"/>
      <c r="G1448" s="631"/>
      <c r="H1448" s="833"/>
      <c r="I1448" s="834"/>
      <c r="J1448" s="834"/>
      <c r="K1448" s="835"/>
      <c r="L1448" s="835"/>
      <c r="M1448" s="835"/>
      <c r="N1448" s="835"/>
      <c r="O1448" s="835"/>
      <c r="P1448" s="835"/>
      <c r="Q1448" s="540"/>
      <c r="R1448" s="540"/>
      <c r="S1448" s="540"/>
      <c r="T1448" s="540"/>
      <c r="U1448" s="540"/>
      <c r="V1448" s="540"/>
      <c r="W1448" s="540"/>
      <c r="X1448" s="540"/>
      <c r="Y1448" s="540"/>
      <c r="Z1448" s="540"/>
    </row>
    <row r="1449" spans="1:26" ht="19">
      <c r="A1449" s="631"/>
      <c r="B1449" s="631"/>
      <c r="C1449" s="631"/>
      <c r="D1449" s="832"/>
      <c r="E1449" s="631"/>
      <c r="F1449" s="631"/>
      <c r="G1449" s="631"/>
      <c r="H1449" s="833"/>
      <c r="I1449" s="834"/>
      <c r="J1449" s="834"/>
      <c r="K1449" s="835"/>
      <c r="L1449" s="835"/>
      <c r="M1449" s="835"/>
      <c r="N1449" s="835"/>
      <c r="O1449" s="835"/>
      <c r="P1449" s="835"/>
      <c r="Q1449" s="540"/>
      <c r="R1449" s="540"/>
      <c r="S1449" s="540"/>
      <c r="T1449" s="540"/>
      <c r="U1449" s="540"/>
      <c r="V1449" s="540"/>
      <c r="W1449" s="540"/>
      <c r="X1449" s="540"/>
      <c r="Y1449" s="540"/>
      <c r="Z1449" s="540"/>
    </row>
    <row r="1450" spans="1:26" ht="19">
      <c r="A1450" s="631"/>
      <c r="B1450" s="631"/>
      <c r="C1450" s="631"/>
      <c r="D1450" s="832"/>
      <c r="E1450" s="631"/>
      <c r="F1450" s="631"/>
      <c r="G1450" s="631"/>
      <c r="H1450" s="833"/>
      <c r="I1450" s="834"/>
      <c r="J1450" s="834"/>
      <c r="K1450" s="835"/>
      <c r="L1450" s="835"/>
      <c r="M1450" s="835"/>
      <c r="N1450" s="835"/>
      <c r="O1450" s="835"/>
      <c r="P1450" s="835"/>
      <c r="Q1450" s="540"/>
      <c r="R1450" s="540"/>
      <c r="S1450" s="540"/>
      <c r="T1450" s="540"/>
      <c r="U1450" s="540"/>
      <c r="V1450" s="540"/>
      <c r="W1450" s="540"/>
      <c r="X1450" s="540"/>
      <c r="Y1450" s="540"/>
      <c r="Z1450" s="540"/>
    </row>
    <row r="1451" spans="1:26" ht="19">
      <c r="A1451" s="631"/>
      <c r="B1451" s="631"/>
      <c r="C1451" s="631"/>
      <c r="D1451" s="832"/>
      <c r="E1451" s="631"/>
      <c r="F1451" s="631"/>
      <c r="G1451" s="631"/>
      <c r="H1451" s="833"/>
      <c r="I1451" s="834"/>
      <c r="J1451" s="834"/>
      <c r="K1451" s="835"/>
      <c r="L1451" s="835"/>
      <c r="M1451" s="835"/>
      <c r="N1451" s="835"/>
      <c r="O1451" s="835"/>
      <c r="P1451" s="835"/>
      <c r="Q1451" s="540"/>
      <c r="R1451" s="540"/>
      <c r="S1451" s="540"/>
      <c r="T1451" s="540"/>
      <c r="U1451" s="540"/>
      <c r="V1451" s="540"/>
      <c r="W1451" s="540"/>
      <c r="X1451" s="540"/>
      <c r="Y1451" s="540"/>
      <c r="Z1451" s="540"/>
    </row>
    <row r="1452" spans="1:26" ht="19">
      <c r="A1452" s="631"/>
      <c r="B1452" s="631"/>
      <c r="C1452" s="631"/>
      <c r="D1452" s="832"/>
      <c r="E1452" s="631"/>
      <c r="F1452" s="631"/>
      <c r="G1452" s="631"/>
      <c r="H1452" s="833"/>
      <c r="I1452" s="834"/>
      <c r="J1452" s="834"/>
      <c r="K1452" s="835"/>
      <c r="L1452" s="835"/>
      <c r="M1452" s="835"/>
      <c r="N1452" s="835"/>
      <c r="O1452" s="835"/>
      <c r="P1452" s="835"/>
      <c r="Q1452" s="540"/>
      <c r="R1452" s="540"/>
      <c r="S1452" s="540"/>
      <c r="T1452" s="540"/>
      <c r="U1452" s="540"/>
      <c r="V1452" s="540"/>
      <c r="W1452" s="540"/>
      <c r="X1452" s="540"/>
      <c r="Y1452" s="540"/>
      <c r="Z1452" s="540"/>
    </row>
    <row r="1453" spans="1:26" ht="19">
      <c r="A1453" s="631"/>
      <c r="B1453" s="631"/>
      <c r="C1453" s="631"/>
      <c r="D1453" s="832"/>
      <c r="E1453" s="631"/>
      <c r="F1453" s="631"/>
      <c r="G1453" s="631"/>
      <c r="H1453" s="833"/>
      <c r="I1453" s="834"/>
      <c r="J1453" s="834"/>
      <c r="K1453" s="835"/>
      <c r="L1453" s="835"/>
      <c r="M1453" s="835"/>
      <c r="N1453" s="835"/>
      <c r="O1453" s="835"/>
      <c r="P1453" s="835"/>
      <c r="Q1453" s="540"/>
      <c r="R1453" s="540"/>
      <c r="S1453" s="540"/>
      <c r="T1453" s="540"/>
      <c r="U1453" s="540"/>
      <c r="V1453" s="540"/>
      <c r="W1453" s="540"/>
      <c r="X1453" s="540"/>
      <c r="Y1453" s="540"/>
      <c r="Z1453" s="540"/>
    </row>
    <row r="1454" spans="1:26" ht="19">
      <c r="A1454" s="631"/>
      <c r="B1454" s="631"/>
      <c r="C1454" s="631"/>
      <c r="D1454" s="832"/>
      <c r="E1454" s="631"/>
      <c r="F1454" s="631"/>
      <c r="G1454" s="631"/>
      <c r="H1454" s="833"/>
      <c r="I1454" s="834"/>
      <c r="J1454" s="834"/>
      <c r="K1454" s="835"/>
      <c r="L1454" s="835"/>
      <c r="M1454" s="835"/>
      <c r="N1454" s="835"/>
      <c r="O1454" s="835"/>
      <c r="P1454" s="835"/>
      <c r="Q1454" s="540"/>
      <c r="R1454" s="540"/>
      <c r="S1454" s="540"/>
      <c r="T1454" s="540"/>
      <c r="U1454" s="540"/>
      <c r="V1454" s="540"/>
      <c r="W1454" s="540"/>
      <c r="X1454" s="540"/>
      <c r="Y1454" s="540"/>
      <c r="Z1454" s="540"/>
    </row>
    <row r="1455" spans="1:26" ht="19">
      <c r="A1455" s="631"/>
      <c r="B1455" s="631"/>
      <c r="C1455" s="631"/>
      <c r="D1455" s="832"/>
      <c r="E1455" s="631"/>
      <c r="F1455" s="631"/>
      <c r="G1455" s="631"/>
      <c r="H1455" s="833"/>
      <c r="I1455" s="834"/>
      <c r="J1455" s="834"/>
      <c r="K1455" s="835"/>
      <c r="L1455" s="835"/>
      <c r="M1455" s="835"/>
      <c r="N1455" s="835"/>
      <c r="O1455" s="835"/>
      <c r="P1455" s="835"/>
      <c r="Q1455" s="540"/>
      <c r="R1455" s="540"/>
      <c r="S1455" s="540"/>
      <c r="T1455" s="540"/>
      <c r="U1455" s="540"/>
      <c r="V1455" s="540"/>
      <c r="W1455" s="540"/>
      <c r="X1455" s="540"/>
      <c r="Y1455" s="540"/>
      <c r="Z1455" s="540"/>
    </row>
    <row r="1456" spans="1:26" ht="19">
      <c r="A1456" s="631"/>
      <c r="B1456" s="631"/>
      <c r="C1456" s="631"/>
      <c r="D1456" s="832"/>
      <c r="E1456" s="631"/>
      <c r="F1456" s="631"/>
      <c r="G1456" s="631"/>
      <c r="H1456" s="833"/>
      <c r="I1456" s="834"/>
      <c r="J1456" s="834"/>
      <c r="K1456" s="835"/>
      <c r="L1456" s="835"/>
      <c r="M1456" s="835"/>
      <c r="N1456" s="835"/>
      <c r="O1456" s="835"/>
      <c r="P1456" s="835"/>
      <c r="Q1456" s="540"/>
      <c r="R1456" s="540"/>
      <c r="S1456" s="540"/>
      <c r="T1456" s="540"/>
      <c r="U1456" s="540"/>
      <c r="V1456" s="540"/>
      <c r="W1456" s="540"/>
      <c r="X1456" s="540"/>
      <c r="Y1456" s="540"/>
      <c r="Z1456" s="540"/>
    </row>
    <row r="1457" spans="1:26" ht="19">
      <c r="A1457" s="631"/>
      <c r="B1457" s="631"/>
      <c r="C1457" s="631"/>
      <c r="D1457" s="832"/>
      <c r="E1457" s="631"/>
      <c r="F1457" s="631"/>
      <c r="G1457" s="631"/>
      <c r="H1457" s="833"/>
      <c r="I1457" s="834"/>
      <c r="J1457" s="834"/>
      <c r="K1457" s="835"/>
      <c r="L1457" s="835"/>
      <c r="M1457" s="835"/>
      <c r="N1457" s="835"/>
      <c r="O1457" s="835"/>
      <c r="P1457" s="835"/>
      <c r="Q1457" s="540"/>
      <c r="R1457" s="540"/>
      <c r="S1457" s="540"/>
      <c r="T1457" s="540"/>
      <c r="U1457" s="540"/>
      <c r="V1457" s="540"/>
      <c r="W1457" s="540"/>
      <c r="X1457" s="540"/>
      <c r="Y1457" s="540"/>
      <c r="Z1457" s="540"/>
    </row>
    <row r="1458" spans="1:26" ht="19">
      <c r="A1458" s="631"/>
      <c r="B1458" s="631"/>
      <c r="C1458" s="631"/>
      <c r="D1458" s="832"/>
      <c r="E1458" s="631"/>
      <c r="F1458" s="631"/>
      <c r="G1458" s="631"/>
      <c r="H1458" s="833"/>
      <c r="I1458" s="834"/>
      <c r="J1458" s="834"/>
      <c r="K1458" s="835"/>
      <c r="L1458" s="835"/>
      <c r="M1458" s="835"/>
      <c r="N1458" s="835"/>
      <c r="O1458" s="835"/>
      <c r="P1458" s="835"/>
      <c r="Q1458" s="540"/>
      <c r="R1458" s="540"/>
      <c r="S1458" s="540"/>
      <c r="T1458" s="540"/>
      <c r="U1458" s="540"/>
      <c r="V1458" s="540"/>
      <c r="W1458" s="540"/>
      <c r="X1458" s="540"/>
      <c r="Y1458" s="540"/>
      <c r="Z1458" s="540"/>
    </row>
    <row r="1459" spans="1:26" ht="19">
      <c r="A1459" s="631"/>
      <c r="B1459" s="631"/>
      <c r="C1459" s="631"/>
      <c r="D1459" s="832"/>
      <c r="E1459" s="631"/>
      <c r="F1459" s="631"/>
      <c r="G1459" s="631"/>
      <c r="H1459" s="833"/>
      <c r="I1459" s="834"/>
      <c r="J1459" s="834"/>
      <c r="K1459" s="835"/>
      <c r="L1459" s="835"/>
      <c r="M1459" s="835"/>
      <c r="N1459" s="835"/>
      <c r="O1459" s="835"/>
      <c r="P1459" s="835"/>
      <c r="Q1459" s="540"/>
      <c r="R1459" s="540"/>
      <c r="S1459" s="540"/>
      <c r="T1459" s="540"/>
      <c r="U1459" s="540"/>
      <c r="V1459" s="540"/>
      <c r="W1459" s="540"/>
      <c r="X1459" s="540"/>
      <c r="Y1459" s="540"/>
      <c r="Z1459" s="540"/>
    </row>
    <row r="1460" spans="1:26" ht="19">
      <c r="A1460" s="631"/>
      <c r="B1460" s="631"/>
      <c r="C1460" s="631"/>
      <c r="D1460" s="832"/>
      <c r="E1460" s="631"/>
      <c r="F1460" s="631"/>
      <c r="G1460" s="631"/>
      <c r="H1460" s="833"/>
      <c r="I1460" s="834"/>
      <c r="J1460" s="834"/>
      <c r="K1460" s="835"/>
      <c r="L1460" s="835"/>
      <c r="M1460" s="835"/>
      <c r="N1460" s="835"/>
      <c r="O1460" s="835"/>
      <c r="P1460" s="835"/>
      <c r="Q1460" s="540"/>
      <c r="R1460" s="540"/>
      <c r="S1460" s="540"/>
      <c r="T1460" s="540"/>
      <c r="U1460" s="540"/>
      <c r="V1460" s="540"/>
      <c r="W1460" s="540"/>
      <c r="X1460" s="540"/>
      <c r="Y1460" s="540"/>
      <c r="Z1460" s="540"/>
    </row>
    <row r="1461" spans="1:26" ht="19">
      <c r="A1461" s="631"/>
      <c r="B1461" s="631"/>
      <c r="C1461" s="631"/>
      <c r="D1461" s="832"/>
      <c r="E1461" s="631"/>
      <c r="F1461" s="631"/>
      <c r="G1461" s="631"/>
      <c r="H1461" s="833"/>
      <c r="I1461" s="834"/>
      <c r="J1461" s="834"/>
      <c r="K1461" s="835"/>
      <c r="L1461" s="835"/>
      <c r="M1461" s="835"/>
      <c r="N1461" s="835"/>
      <c r="O1461" s="835"/>
      <c r="P1461" s="835"/>
      <c r="Q1461" s="540"/>
      <c r="R1461" s="540"/>
      <c r="S1461" s="540"/>
      <c r="T1461" s="540"/>
      <c r="U1461" s="540"/>
      <c r="V1461" s="540"/>
      <c r="W1461" s="540"/>
      <c r="X1461" s="540"/>
      <c r="Y1461" s="540"/>
      <c r="Z1461" s="540"/>
    </row>
    <row r="1462" spans="1:26" ht="19">
      <c r="A1462" s="631"/>
      <c r="B1462" s="631"/>
      <c r="C1462" s="631"/>
      <c r="D1462" s="832"/>
      <c r="E1462" s="631"/>
      <c r="F1462" s="631"/>
      <c r="G1462" s="631"/>
      <c r="H1462" s="833"/>
      <c r="I1462" s="834"/>
      <c r="J1462" s="834"/>
      <c r="K1462" s="835"/>
      <c r="L1462" s="835"/>
      <c r="M1462" s="835"/>
      <c r="N1462" s="835"/>
      <c r="O1462" s="835"/>
      <c r="P1462" s="835"/>
      <c r="Q1462" s="540"/>
      <c r="R1462" s="540"/>
      <c r="S1462" s="540"/>
      <c r="T1462" s="540"/>
      <c r="U1462" s="540"/>
      <c r="V1462" s="540"/>
      <c r="W1462" s="540"/>
      <c r="X1462" s="540"/>
      <c r="Y1462" s="540"/>
      <c r="Z1462" s="540"/>
    </row>
    <row r="1463" spans="1:26" ht="19">
      <c r="A1463" s="631"/>
      <c r="B1463" s="631"/>
      <c r="C1463" s="631"/>
      <c r="D1463" s="832"/>
      <c r="E1463" s="631"/>
      <c r="F1463" s="631"/>
      <c r="G1463" s="631"/>
      <c r="H1463" s="833"/>
      <c r="I1463" s="834"/>
      <c r="J1463" s="834"/>
      <c r="K1463" s="835"/>
      <c r="L1463" s="835"/>
      <c r="M1463" s="835"/>
      <c r="N1463" s="835"/>
      <c r="O1463" s="835"/>
      <c r="P1463" s="835"/>
      <c r="Q1463" s="540"/>
      <c r="R1463" s="540"/>
      <c r="S1463" s="540"/>
      <c r="T1463" s="540"/>
      <c r="U1463" s="540"/>
      <c r="V1463" s="540"/>
      <c r="W1463" s="540"/>
      <c r="X1463" s="540"/>
      <c r="Y1463" s="540"/>
      <c r="Z1463" s="540"/>
    </row>
    <row r="1464" spans="1:26" ht="19">
      <c r="A1464" s="631"/>
      <c r="B1464" s="631"/>
      <c r="C1464" s="631"/>
      <c r="D1464" s="832"/>
      <c r="E1464" s="631"/>
      <c r="F1464" s="631"/>
      <c r="G1464" s="631"/>
      <c r="H1464" s="833"/>
      <c r="I1464" s="834"/>
      <c r="J1464" s="834"/>
      <c r="K1464" s="835"/>
      <c r="L1464" s="835"/>
      <c r="M1464" s="835"/>
      <c r="N1464" s="835"/>
      <c r="O1464" s="835"/>
      <c r="P1464" s="835"/>
      <c r="Q1464" s="540"/>
      <c r="R1464" s="540"/>
      <c r="S1464" s="540"/>
      <c r="T1464" s="540"/>
      <c r="U1464" s="540"/>
      <c r="V1464" s="540"/>
      <c r="W1464" s="540"/>
      <c r="X1464" s="540"/>
      <c r="Y1464" s="540"/>
      <c r="Z1464" s="540"/>
    </row>
    <row r="1465" spans="1:26" ht="19">
      <c r="A1465" s="631"/>
      <c r="B1465" s="631"/>
      <c r="C1465" s="631"/>
      <c r="D1465" s="832"/>
      <c r="E1465" s="631"/>
      <c r="F1465" s="631"/>
      <c r="G1465" s="631"/>
      <c r="H1465" s="833"/>
      <c r="I1465" s="834"/>
      <c r="J1465" s="834"/>
      <c r="K1465" s="835"/>
      <c r="L1465" s="835"/>
      <c r="M1465" s="835"/>
      <c r="N1465" s="835"/>
      <c r="O1465" s="835"/>
      <c r="P1465" s="835"/>
      <c r="Q1465" s="540"/>
      <c r="R1465" s="540"/>
      <c r="S1465" s="540"/>
      <c r="T1465" s="540"/>
      <c r="U1465" s="540"/>
      <c r="V1465" s="540"/>
      <c r="W1465" s="540"/>
      <c r="X1465" s="540"/>
      <c r="Y1465" s="540"/>
      <c r="Z1465" s="540"/>
    </row>
    <row r="1466" spans="1:26" ht="19">
      <c r="A1466" s="631"/>
      <c r="B1466" s="631"/>
      <c r="C1466" s="631"/>
      <c r="D1466" s="832"/>
      <c r="E1466" s="631"/>
      <c r="F1466" s="631"/>
      <c r="G1466" s="631"/>
      <c r="H1466" s="833"/>
      <c r="I1466" s="834"/>
      <c r="J1466" s="834"/>
      <c r="K1466" s="835"/>
      <c r="L1466" s="835"/>
      <c r="M1466" s="835"/>
      <c r="N1466" s="835"/>
      <c r="O1466" s="835"/>
      <c r="P1466" s="835"/>
      <c r="Q1466" s="540"/>
      <c r="R1466" s="540"/>
      <c r="S1466" s="540"/>
      <c r="T1466" s="540"/>
      <c r="U1466" s="540"/>
      <c r="V1466" s="540"/>
      <c r="W1466" s="540"/>
      <c r="X1466" s="540"/>
      <c r="Y1466" s="540"/>
      <c r="Z1466" s="540"/>
    </row>
    <row r="1467" spans="1:26" ht="19">
      <c r="A1467" s="631"/>
      <c r="B1467" s="631"/>
      <c r="C1467" s="631"/>
      <c r="D1467" s="832"/>
      <c r="E1467" s="631"/>
      <c r="F1467" s="631"/>
      <c r="G1467" s="631"/>
      <c r="H1467" s="833"/>
      <c r="I1467" s="834"/>
      <c r="J1467" s="834"/>
      <c r="K1467" s="835"/>
      <c r="L1467" s="835"/>
      <c r="M1467" s="835"/>
      <c r="N1467" s="835"/>
      <c r="O1467" s="835"/>
      <c r="P1467" s="835"/>
      <c r="Q1467" s="540"/>
      <c r="R1467" s="540"/>
      <c r="S1467" s="540"/>
      <c r="T1467" s="540"/>
      <c r="U1467" s="540"/>
      <c r="V1467" s="540"/>
      <c r="W1467" s="540"/>
      <c r="X1467" s="540"/>
      <c r="Y1467" s="540"/>
      <c r="Z1467" s="540"/>
    </row>
    <row r="1468" spans="1:26" ht="19">
      <c r="A1468" s="631"/>
      <c r="B1468" s="631"/>
      <c r="C1468" s="631"/>
      <c r="D1468" s="832"/>
      <c r="E1468" s="631"/>
      <c r="F1468" s="631"/>
      <c r="G1468" s="631"/>
      <c r="H1468" s="833"/>
      <c r="I1468" s="834"/>
      <c r="J1468" s="834"/>
      <c r="K1468" s="835"/>
      <c r="L1468" s="835"/>
      <c r="M1468" s="835"/>
      <c r="N1468" s="835"/>
      <c r="O1468" s="835"/>
      <c r="P1468" s="835"/>
      <c r="Q1468" s="540"/>
      <c r="R1468" s="540"/>
      <c r="S1468" s="540"/>
      <c r="T1468" s="540"/>
      <c r="U1468" s="540"/>
      <c r="V1468" s="540"/>
      <c r="W1468" s="540"/>
      <c r="X1468" s="540"/>
      <c r="Y1468" s="540"/>
      <c r="Z1468" s="540"/>
    </row>
    <row r="1469" spans="1:26" ht="19">
      <c r="A1469" s="631"/>
      <c r="B1469" s="631"/>
      <c r="C1469" s="631"/>
      <c r="D1469" s="832"/>
      <c r="E1469" s="631"/>
      <c r="F1469" s="631"/>
      <c r="G1469" s="631"/>
      <c r="H1469" s="833"/>
      <c r="I1469" s="834"/>
      <c r="J1469" s="834"/>
      <c r="K1469" s="835"/>
      <c r="L1469" s="835"/>
      <c r="M1469" s="835"/>
      <c r="N1469" s="835"/>
      <c r="O1469" s="835"/>
      <c r="P1469" s="835"/>
      <c r="Q1469" s="540"/>
      <c r="R1469" s="540"/>
      <c r="S1469" s="540"/>
      <c r="T1469" s="540"/>
      <c r="U1469" s="540"/>
      <c r="V1469" s="540"/>
      <c r="W1469" s="540"/>
      <c r="X1469" s="540"/>
      <c r="Y1469" s="540"/>
      <c r="Z1469" s="540"/>
    </row>
    <row r="1470" spans="1:26" ht="19">
      <c r="A1470" s="631"/>
      <c r="B1470" s="631"/>
      <c r="C1470" s="631"/>
      <c r="D1470" s="832"/>
      <c r="E1470" s="631"/>
      <c r="F1470" s="631"/>
      <c r="G1470" s="631"/>
      <c r="H1470" s="833"/>
      <c r="I1470" s="834"/>
      <c r="J1470" s="834"/>
      <c r="K1470" s="835"/>
      <c r="L1470" s="835"/>
      <c r="M1470" s="835"/>
      <c r="N1470" s="835"/>
      <c r="O1470" s="835"/>
      <c r="P1470" s="835"/>
      <c r="Q1470" s="540"/>
      <c r="R1470" s="540"/>
      <c r="S1470" s="540"/>
      <c r="T1470" s="540"/>
      <c r="U1470" s="540"/>
      <c r="V1470" s="540"/>
      <c r="W1470" s="540"/>
      <c r="X1470" s="540"/>
      <c r="Y1470" s="540"/>
      <c r="Z1470" s="540"/>
    </row>
    <row r="1471" spans="1:26" ht="19">
      <c r="A1471" s="631"/>
      <c r="B1471" s="631"/>
      <c r="C1471" s="631"/>
      <c r="D1471" s="832"/>
      <c r="E1471" s="631"/>
      <c r="F1471" s="631"/>
      <c r="G1471" s="631"/>
      <c r="H1471" s="833"/>
      <c r="I1471" s="834"/>
      <c r="J1471" s="834"/>
      <c r="K1471" s="835"/>
      <c r="L1471" s="835"/>
      <c r="M1471" s="835"/>
      <c r="N1471" s="835"/>
      <c r="O1471" s="835"/>
      <c r="P1471" s="835"/>
      <c r="Q1471" s="540"/>
      <c r="R1471" s="540"/>
      <c r="S1471" s="540"/>
      <c r="T1471" s="540"/>
      <c r="U1471" s="540"/>
      <c r="V1471" s="540"/>
      <c r="W1471" s="540"/>
      <c r="X1471" s="540"/>
      <c r="Y1471" s="540"/>
      <c r="Z1471" s="540"/>
    </row>
    <row r="1472" spans="1:26" ht="19">
      <c r="A1472" s="631"/>
      <c r="B1472" s="631"/>
      <c r="C1472" s="631"/>
      <c r="D1472" s="832"/>
      <c r="E1472" s="631"/>
      <c r="F1472" s="631"/>
      <c r="G1472" s="631"/>
      <c r="H1472" s="833"/>
      <c r="I1472" s="834"/>
      <c r="J1472" s="834"/>
      <c r="K1472" s="835"/>
      <c r="L1472" s="835"/>
      <c r="M1472" s="835"/>
      <c r="N1472" s="835"/>
      <c r="O1472" s="835"/>
      <c r="P1472" s="835"/>
      <c r="Q1472" s="540"/>
      <c r="R1472" s="540"/>
      <c r="S1472" s="540"/>
      <c r="T1472" s="540"/>
      <c r="U1472" s="540"/>
      <c r="V1472" s="540"/>
      <c r="W1472" s="540"/>
      <c r="X1472" s="540"/>
      <c r="Y1472" s="540"/>
      <c r="Z1472" s="540"/>
    </row>
    <row r="1473" spans="1:26" ht="19">
      <c r="A1473" s="631"/>
      <c r="B1473" s="631"/>
      <c r="C1473" s="631"/>
      <c r="D1473" s="832"/>
      <c r="E1473" s="631"/>
      <c r="F1473" s="631"/>
      <c r="G1473" s="631"/>
      <c r="H1473" s="833"/>
      <c r="I1473" s="834"/>
      <c r="J1473" s="834"/>
      <c r="K1473" s="835"/>
      <c r="L1473" s="835"/>
      <c r="M1473" s="835"/>
      <c r="N1473" s="835"/>
      <c r="O1473" s="835"/>
      <c r="P1473" s="835"/>
      <c r="Q1473" s="540"/>
      <c r="R1473" s="540"/>
      <c r="S1473" s="540"/>
      <c r="T1473" s="540"/>
      <c r="U1473" s="540"/>
      <c r="V1473" s="540"/>
      <c r="W1473" s="540"/>
      <c r="X1473" s="540"/>
      <c r="Y1473" s="540"/>
      <c r="Z1473" s="540"/>
    </row>
    <row r="1474" spans="1:26" ht="19">
      <c r="A1474" s="631"/>
      <c r="B1474" s="631"/>
      <c r="C1474" s="631"/>
      <c r="D1474" s="832"/>
      <c r="E1474" s="631"/>
      <c r="F1474" s="631"/>
      <c r="G1474" s="631"/>
      <c r="H1474" s="833"/>
      <c r="I1474" s="834"/>
      <c r="J1474" s="834"/>
      <c r="K1474" s="835"/>
      <c r="L1474" s="835"/>
      <c r="M1474" s="835"/>
      <c r="N1474" s="835"/>
      <c r="O1474" s="835"/>
      <c r="P1474" s="835"/>
      <c r="Q1474" s="540"/>
      <c r="R1474" s="540"/>
      <c r="S1474" s="540"/>
      <c r="T1474" s="540"/>
      <c r="U1474" s="540"/>
      <c r="V1474" s="540"/>
      <c r="W1474" s="540"/>
      <c r="X1474" s="540"/>
      <c r="Y1474" s="540"/>
      <c r="Z1474" s="540"/>
    </row>
    <row r="1475" spans="1:26" ht="19">
      <c r="A1475" s="631"/>
      <c r="B1475" s="631"/>
      <c r="C1475" s="631"/>
      <c r="D1475" s="832"/>
      <c r="E1475" s="631"/>
      <c r="F1475" s="631"/>
      <c r="G1475" s="631"/>
      <c r="H1475" s="833"/>
      <c r="I1475" s="834"/>
      <c r="J1475" s="834"/>
      <c r="K1475" s="835"/>
      <c r="L1475" s="835"/>
      <c r="M1475" s="835"/>
      <c r="N1475" s="835"/>
      <c r="O1475" s="835"/>
      <c r="P1475" s="835"/>
      <c r="Q1475" s="540"/>
      <c r="R1475" s="540"/>
      <c r="S1475" s="540"/>
      <c r="T1475" s="540"/>
      <c r="U1475" s="540"/>
      <c r="V1475" s="540"/>
      <c r="W1475" s="540"/>
      <c r="X1475" s="540"/>
      <c r="Y1475" s="540"/>
      <c r="Z1475" s="540"/>
    </row>
    <row r="1476" spans="1:26" ht="19">
      <c r="A1476" s="631"/>
      <c r="B1476" s="631"/>
      <c r="C1476" s="631"/>
      <c r="D1476" s="832"/>
      <c r="E1476" s="631"/>
      <c r="F1476" s="631"/>
      <c r="G1476" s="631"/>
      <c r="H1476" s="833"/>
      <c r="I1476" s="834"/>
      <c r="J1476" s="834"/>
      <c r="K1476" s="835"/>
      <c r="L1476" s="835"/>
      <c r="M1476" s="835"/>
      <c r="N1476" s="835"/>
      <c r="O1476" s="835"/>
      <c r="P1476" s="835"/>
      <c r="Q1476" s="540"/>
      <c r="R1476" s="540"/>
      <c r="S1476" s="540"/>
      <c r="T1476" s="540"/>
      <c r="U1476" s="540"/>
      <c r="V1476" s="540"/>
      <c r="W1476" s="540"/>
      <c r="X1476" s="540"/>
      <c r="Y1476" s="540"/>
      <c r="Z1476" s="540"/>
    </row>
    <row r="1477" spans="1:26" ht="19">
      <c r="A1477" s="631"/>
      <c r="B1477" s="631"/>
      <c r="C1477" s="631"/>
      <c r="D1477" s="832"/>
      <c r="E1477" s="631"/>
      <c r="F1477" s="631"/>
      <c r="G1477" s="631"/>
      <c r="H1477" s="833"/>
      <c r="I1477" s="834"/>
      <c r="J1477" s="834"/>
      <c r="K1477" s="835"/>
      <c r="L1477" s="835"/>
      <c r="M1477" s="835"/>
      <c r="N1477" s="835"/>
      <c r="O1477" s="835"/>
      <c r="P1477" s="835"/>
      <c r="Q1477" s="540"/>
      <c r="R1477" s="540"/>
      <c r="S1477" s="540"/>
      <c r="T1477" s="540"/>
      <c r="U1477" s="540"/>
      <c r="V1477" s="540"/>
      <c r="W1477" s="540"/>
      <c r="X1477" s="540"/>
      <c r="Y1477" s="540"/>
      <c r="Z1477" s="540"/>
    </row>
    <row r="1478" spans="1:26" ht="19">
      <c r="A1478" s="631"/>
      <c r="B1478" s="631"/>
      <c r="C1478" s="631"/>
      <c r="D1478" s="832"/>
      <c r="E1478" s="631"/>
      <c r="F1478" s="631"/>
      <c r="G1478" s="631"/>
      <c r="H1478" s="833"/>
      <c r="I1478" s="834"/>
      <c r="J1478" s="834"/>
      <c r="K1478" s="835"/>
      <c r="L1478" s="835"/>
      <c r="M1478" s="835"/>
      <c r="N1478" s="835"/>
      <c r="O1478" s="835"/>
      <c r="P1478" s="835"/>
      <c r="Q1478" s="540"/>
      <c r="R1478" s="540"/>
      <c r="S1478" s="540"/>
      <c r="T1478" s="540"/>
      <c r="U1478" s="540"/>
      <c r="V1478" s="540"/>
      <c r="W1478" s="540"/>
      <c r="X1478" s="540"/>
      <c r="Y1478" s="540"/>
      <c r="Z1478" s="540"/>
    </row>
    <row r="1479" spans="1:26" ht="19">
      <c r="A1479" s="631"/>
      <c r="B1479" s="631"/>
      <c r="C1479" s="631"/>
      <c r="D1479" s="832"/>
      <c r="E1479" s="631"/>
      <c r="F1479" s="631"/>
      <c r="G1479" s="631"/>
      <c r="H1479" s="833"/>
      <c r="I1479" s="834"/>
      <c r="J1479" s="834"/>
      <c r="K1479" s="835"/>
      <c r="L1479" s="835"/>
      <c r="M1479" s="835"/>
      <c r="N1479" s="835"/>
      <c r="O1479" s="835"/>
      <c r="P1479" s="835"/>
      <c r="Q1479" s="540"/>
      <c r="R1479" s="540"/>
      <c r="S1479" s="540"/>
      <c r="T1479" s="540"/>
      <c r="U1479" s="540"/>
      <c r="V1479" s="540"/>
      <c r="W1479" s="540"/>
      <c r="X1479" s="540"/>
      <c r="Y1479" s="540"/>
      <c r="Z1479" s="540"/>
    </row>
    <row r="1480" spans="1:26" ht="19">
      <c r="A1480" s="631"/>
      <c r="B1480" s="631"/>
      <c r="C1480" s="631"/>
      <c r="D1480" s="832"/>
      <c r="E1480" s="631"/>
      <c r="F1480" s="631"/>
      <c r="G1480" s="631"/>
      <c r="H1480" s="833"/>
      <c r="I1480" s="834"/>
      <c r="J1480" s="834"/>
      <c r="K1480" s="835"/>
      <c r="L1480" s="835"/>
      <c r="M1480" s="835"/>
      <c r="N1480" s="835"/>
      <c r="O1480" s="835"/>
      <c r="P1480" s="835"/>
      <c r="Q1480" s="540"/>
      <c r="R1480" s="540"/>
      <c r="S1480" s="540"/>
      <c r="T1480" s="540"/>
      <c r="U1480" s="540"/>
      <c r="V1480" s="540"/>
      <c r="W1480" s="540"/>
      <c r="X1480" s="540"/>
      <c r="Y1480" s="540"/>
      <c r="Z1480" s="540"/>
    </row>
    <row r="1481" spans="1:26" ht="19">
      <c r="A1481" s="631"/>
      <c r="B1481" s="631"/>
      <c r="C1481" s="631"/>
      <c r="D1481" s="832"/>
      <c r="E1481" s="631"/>
      <c r="F1481" s="631"/>
      <c r="G1481" s="631"/>
      <c r="H1481" s="833"/>
      <c r="I1481" s="834"/>
      <c r="J1481" s="834"/>
      <c r="K1481" s="835"/>
      <c r="L1481" s="835"/>
      <c r="M1481" s="835"/>
      <c r="N1481" s="835"/>
      <c r="O1481" s="835"/>
      <c r="P1481" s="835"/>
      <c r="Q1481" s="540"/>
      <c r="R1481" s="540"/>
      <c r="S1481" s="540"/>
      <c r="T1481" s="540"/>
      <c r="U1481" s="540"/>
      <c r="V1481" s="540"/>
      <c r="W1481" s="540"/>
      <c r="X1481" s="540"/>
      <c r="Y1481" s="540"/>
      <c r="Z1481" s="540"/>
    </row>
    <row r="1482" spans="1:26" ht="19">
      <c r="A1482" s="631"/>
      <c r="B1482" s="631"/>
      <c r="C1482" s="631"/>
      <c r="D1482" s="832"/>
      <c r="E1482" s="631"/>
      <c r="F1482" s="631"/>
      <c r="G1482" s="631"/>
      <c r="H1482" s="833"/>
      <c r="I1482" s="834"/>
      <c r="J1482" s="834"/>
      <c r="K1482" s="835"/>
      <c r="L1482" s="835"/>
      <c r="M1482" s="835"/>
      <c r="N1482" s="835"/>
      <c r="O1482" s="835"/>
      <c r="P1482" s="835"/>
      <c r="Q1482" s="540"/>
      <c r="R1482" s="540"/>
      <c r="S1482" s="540"/>
      <c r="T1482" s="540"/>
      <c r="U1482" s="540"/>
      <c r="V1482" s="540"/>
      <c r="W1482" s="540"/>
      <c r="X1482" s="540"/>
      <c r="Y1482" s="540"/>
      <c r="Z1482" s="540"/>
    </row>
    <row r="1483" spans="1:26" ht="19">
      <c r="A1483" s="631"/>
      <c r="B1483" s="631"/>
      <c r="C1483" s="631"/>
      <c r="D1483" s="832"/>
      <c r="E1483" s="631"/>
      <c r="F1483" s="631"/>
      <c r="G1483" s="631"/>
      <c r="H1483" s="833"/>
      <c r="I1483" s="834"/>
      <c r="J1483" s="834"/>
      <c r="K1483" s="835"/>
      <c r="L1483" s="835"/>
      <c r="M1483" s="835"/>
      <c r="N1483" s="835"/>
      <c r="O1483" s="835"/>
      <c r="P1483" s="835"/>
      <c r="Q1483" s="540"/>
      <c r="R1483" s="540"/>
      <c r="S1483" s="540"/>
      <c r="T1483" s="540"/>
      <c r="U1483" s="540"/>
      <c r="V1483" s="540"/>
      <c r="W1483" s="540"/>
      <c r="X1483" s="540"/>
      <c r="Y1483" s="540"/>
      <c r="Z1483" s="540"/>
    </row>
    <row r="1484" spans="1:26" ht="19">
      <c r="A1484" s="631"/>
      <c r="B1484" s="631"/>
      <c r="C1484" s="631"/>
      <c r="D1484" s="832"/>
      <c r="E1484" s="631"/>
      <c r="F1484" s="631"/>
      <c r="G1484" s="631"/>
      <c r="H1484" s="833"/>
      <c r="I1484" s="834"/>
      <c r="J1484" s="834"/>
      <c r="K1484" s="835"/>
      <c r="L1484" s="835"/>
      <c r="M1484" s="835"/>
      <c r="N1484" s="835"/>
      <c r="O1484" s="835"/>
      <c r="P1484" s="835"/>
      <c r="Q1484" s="540"/>
      <c r="R1484" s="540"/>
      <c r="S1484" s="540"/>
      <c r="T1484" s="540"/>
      <c r="U1484" s="540"/>
      <c r="V1484" s="540"/>
      <c r="W1484" s="540"/>
      <c r="X1484" s="540"/>
      <c r="Y1484" s="540"/>
      <c r="Z1484" s="540"/>
    </row>
    <row r="1485" spans="1:26" ht="19">
      <c r="A1485" s="631"/>
      <c r="B1485" s="631"/>
      <c r="C1485" s="631"/>
      <c r="D1485" s="832"/>
      <c r="E1485" s="631"/>
      <c r="F1485" s="631"/>
      <c r="G1485" s="631"/>
      <c r="H1485" s="833"/>
      <c r="I1485" s="834"/>
      <c r="J1485" s="834"/>
      <c r="K1485" s="835"/>
      <c r="L1485" s="835"/>
      <c r="M1485" s="835"/>
      <c r="N1485" s="835"/>
      <c r="O1485" s="835"/>
      <c r="P1485" s="835"/>
      <c r="Q1485" s="540"/>
      <c r="R1485" s="540"/>
      <c r="S1485" s="540"/>
      <c r="T1485" s="540"/>
      <c r="U1485" s="540"/>
      <c r="V1485" s="540"/>
      <c r="W1485" s="540"/>
      <c r="X1485" s="540"/>
      <c r="Y1485" s="540"/>
      <c r="Z1485" s="540"/>
    </row>
    <row r="1486" spans="1:26" ht="19">
      <c r="A1486" s="631"/>
      <c r="B1486" s="631"/>
      <c r="C1486" s="631"/>
      <c r="D1486" s="832"/>
      <c r="E1486" s="631"/>
      <c r="F1486" s="631"/>
      <c r="G1486" s="631"/>
      <c r="H1486" s="833"/>
      <c r="I1486" s="834"/>
      <c r="J1486" s="834"/>
      <c r="K1486" s="835"/>
      <c r="L1486" s="835"/>
      <c r="M1486" s="835"/>
      <c r="N1486" s="835"/>
      <c r="O1486" s="835"/>
      <c r="P1486" s="835"/>
      <c r="Q1486" s="540"/>
      <c r="R1486" s="540"/>
      <c r="S1486" s="540"/>
      <c r="T1486" s="540"/>
      <c r="U1486" s="540"/>
      <c r="V1486" s="540"/>
      <c r="W1486" s="540"/>
      <c r="X1486" s="540"/>
      <c r="Y1486" s="540"/>
      <c r="Z1486" s="540"/>
    </row>
    <row r="1487" spans="1:26" ht="19">
      <c r="A1487" s="631"/>
      <c r="B1487" s="631"/>
      <c r="C1487" s="631"/>
      <c r="D1487" s="832"/>
      <c r="E1487" s="631"/>
      <c r="F1487" s="631"/>
      <c r="G1487" s="631"/>
      <c r="H1487" s="833"/>
      <c r="I1487" s="834"/>
      <c r="J1487" s="834"/>
      <c r="K1487" s="835"/>
      <c r="L1487" s="835"/>
      <c r="M1487" s="835"/>
      <c r="N1487" s="835"/>
      <c r="O1487" s="835"/>
      <c r="P1487" s="835"/>
      <c r="Q1487" s="540"/>
      <c r="R1487" s="540"/>
      <c r="S1487" s="540"/>
      <c r="T1487" s="540"/>
      <c r="U1487" s="540"/>
      <c r="V1487" s="540"/>
      <c r="W1487" s="540"/>
      <c r="X1487" s="540"/>
      <c r="Y1487" s="540"/>
      <c r="Z1487" s="540"/>
    </row>
    <row r="1488" spans="1:26" ht="19">
      <c r="A1488" s="631"/>
      <c r="B1488" s="631"/>
      <c r="C1488" s="631"/>
      <c r="D1488" s="832"/>
      <c r="E1488" s="631"/>
      <c r="F1488" s="631"/>
      <c r="G1488" s="631"/>
      <c r="H1488" s="833"/>
      <c r="I1488" s="834"/>
      <c r="J1488" s="834"/>
      <c r="K1488" s="835"/>
      <c r="L1488" s="835"/>
      <c r="M1488" s="835"/>
      <c r="N1488" s="835"/>
      <c r="O1488" s="835"/>
      <c r="P1488" s="835"/>
      <c r="Q1488" s="540"/>
      <c r="R1488" s="540"/>
      <c r="S1488" s="540"/>
      <c r="T1488" s="540"/>
      <c r="U1488" s="540"/>
      <c r="V1488" s="540"/>
      <c r="W1488" s="540"/>
      <c r="X1488" s="540"/>
      <c r="Y1488" s="540"/>
      <c r="Z1488" s="540"/>
    </row>
    <row r="1489" spans="1:26" ht="19">
      <c r="A1489" s="631"/>
      <c r="B1489" s="631"/>
      <c r="C1489" s="631"/>
      <c r="D1489" s="832"/>
      <c r="E1489" s="631"/>
      <c r="F1489" s="631"/>
      <c r="G1489" s="631"/>
      <c r="H1489" s="833"/>
      <c r="I1489" s="834"/>
      <c r="J1489" s="834"/>
      <c r="K1489" s="835"/>
      <c r="L1489" s="835"/>
      <c r="M1489" s="835"/>
      <c r="N1489" s="835"/>
      <c r="O1489" s="835"/>
      <c r="P1489" s="835"/>
      <c r="Q1489" s="540"/>
      <c r="R1489" s="540"/>
      <c r="S1489" s="540"/>
      <c r="T1489" s="540"/>
      <c r="U1489" s="540"/>
      <c r="V1489" s="540"/>
      <c r="W1489" s="540"/>
      <c r="X1489" s="540"/>
      <c r="Y1489" s="540"/>
      <c r="Z1489" s="540"/>
    </row>
    <row r="1490" spans="1:26" ht="19">
      <c r="A1490" s="631"/>
      <c r="B1490" s="631"/>
      <c r="C1490" s="631"/>
      <c r="D1490" s="832"/>
      <c r="E1490" s="631"/>
      <c r="F1490" s="631"/>
      <c r="G1490" s="631"/>
      <c r="H1490" s="833"/>
      <c r="I1490" s="834"/>
      <c r="J1490" s="834"/>
      <c r="K1490" s="835"/>
      <c r="L1490" s="835"/>
      <c r="M1490" s="835"/>
      <c r="N1490" s="835"/>
      <c r="O1490" s="835"/>
      <c r="P1490" s="835"/>
      <c r="Q1490" s="540"/>
      <c r="R1490" s="540"/>
      <c r="S1490" s="540"/>
      <c r="T1490" s="540"/>
      <c r="U1490" s="540"/>
      <c r="V1490" s="540"/>
      <c r="W1490" s="540"/>
      <c r="X1490" s="540"/>
      <c r="Y1490" s="540"/>
      <c r="Z1490" s="540"/>
    </row>
    <row r="1491" spans="1:26" ht="19">
      <c r="A1491" s="631"/>
      <c r="B1491" s="631"/>
      <c r="C1491" s="631"/>
      <c r="D1491" s="832"/>
      <c r="E1491" s="631"/>
      <c r="F1491" s="631"/>
      <c r="G1491" s="631"/>
      <c r="H1491" s="833"/>
      <c r="I1491" s="834"/>
      <c r="J1491" s="834"/>
      <c r="K1491" s="835"/>
      <c r="L1491" s="835"/>
      <c r="M1491" s="835"/>
      <c r="N1491" s="835"/>
      <c r="O1491" s="835"/>
      <c r="P1491" s="835"/>
      <c r="Q1491" s="540"/>
      <c r="R1491" s="540"/>
      <c r="S1491" s="540"/>
      <c r="T1491" s="540"/>
      <c r="U1491" s="540"/>
      <c r="V1491" s="540"/>
      <c r="W1491" s="540"/>
      <c r="X1491" s="540"/>
      <c r="Y1491" s="540"/>
      <c r="Z1491" s="540"/>
    </row>
    <row r="1492" spans="1:26" ht="19">
      <c r="A1492" s="631"/>
      <c r="B1492" s="631"/>
      <c r="C1492" s="631"/>
      <c r="D1492" s="832"/>
      <c r="E1492" s="631"/>
      <c r="F1492" s="631"/>
      <c r="G1492" s="631"/>
      <c r="H1492" s="833"/>
      <c r="I1492" s="834"/>
      <c r="J1492" s="834"/>
      <c r="K1492" s="835"/>
      <c r="L1492" s="835"/>
      <c r="M1492" s="835"/>
      <c r="N1492" s="835"/>
      <c r="O1492" s="835"/>
      <c r="P1492" s="835"/>
      <c r="Q1492" s="540"/>
      <c r="R1492" s="540"/>
      <c r="S1492" s="540"/>
      <c r="T1492" s="540"/>
      <c r="U1492" s="540"/>
      <c r="V1492" s="540"/>
      <c r="W1492" s="540"/>
      <c r="X1492" s="540"/>
      <c r="Y1492" s="540"/>
      <c r="Z1492" s="540"/>
    </row>
    <row r="1493" spans="1:26" ht="19">
      <c r="A1493" s="631"/>
      <c r="B1493" s="631"/>
      <c r="C1493" s="631"/>
      <c r="D1493" s="832"/>
      <c r="E1493" s="631"/>
      <c r="F1493" s="631"/>
      <c r="G1493" s="631"/>
      <c r="H1493" s="833"/>
      <c r="I1493" s="834"/>
      <c r="J1493" s="834"/>
      <c r="K1493" s="835"/>
      <c r="L1493" s="835"/>
      <c r="M1493" s="835"/>
      <c r="N1493" s="835"/>
      <c r="O1493" s="835"/>
      <c r="P1493" s="835"/>
      <c r="Q1493" s="540"/>
      <c r="R1493" s="540"/>
      <c r="S1493" s="540"/>
      <c r="T1493" s="540"/>
      <c r="U1493" s="540"/>
      <c r="V1493" s="540"/>
      <c r="W1493" s="540"/>
      <c r="X1493" s="540"/>
      <c r="Y1493" s="540"/>
      <c r="Z1493" s="540"/>
    </row>
    <row r="1494" spans="1:26" ht="19">
      <c r="A1494" s="631"/>
      <c r="B1494" s="631"/>
      <c r="C1494" s="631"/>
      <c r="D1494" s="832"/>
      <c r="E1494" s="631"/>
      <c r="F1494" s="631"/>
      <c r="G1494" s="631"/>
      <c r="H1494" s="833"/>
      <c r="I1494" s="834"/>
      <c r="J1494" s="834"/>
      <c r="K1494" s="835"/>
      <c r="L1494" s="835"/>
      <c r="M1494" s="835"/>
      <c r="N1494" s="835"/>
      <c r="O1494" s="835"/>
      <c r="P1494" s="835"/>
      <c r="Q1494" s="540"/>
      <c r="R1494" s="540"/>
      <c r="S1494" s="540"/>
      <c r="T1494" s="540"/>
      <c r="U1494" s="540"/>
      <c r="V1494" s="540"/>
      <c r="W1494" s="540"/>
      <c r="X1494" s="540"/>
      <c r="Y1494" s="540"/>
      <c r="Z1494" s="540"/>
    </row>
    <row r="1495" spans="1:26" ht="19">
      <c r="A1495" s="631"/>
      <c r="B1495" s="631"/>
      <c r="C1495" s="631"/>
      <c r="D1495" s="832"/>
      <c r="E1495" s="631"/>
      <c r="F1495" s="631"/>
      <c r="G1495" s="631"/>
      <c r="H1495" s="833"/>
      <c r="I1495" s="834"/>
      <c r="J1495" s="834"/>
      <c r="K1495" s="835"/>
      <c r="L1495" s="835"/>
      <c r="M1495" s="835"/>
      <c r="N1495" s="835"/>
      <c r="O1495" s="835"/>
      <c r="P1495" s="835"/>
      <c r="Q1495" s="540"/>
      <c r="R1495" s="540"/>
      <c r="S1495" s="540"/>
      <c r="T1495" s="540"/>
      <c r="U1495" s="540"/>
      <c r="V1495" s="540"/>
      <c r="W1495" s="540"/>
      <c r="X1495" s="540"/>
      <c r="Y1495" s="540"/>
      <c r="Z1495" s="540"/>
    </row>
    <row r="1496" spans="1:26" ht="19">
      <c r="A1496" s="631"/>
      <c r="B1496" s="631"/>
      <c r="C1496" s="631"/>
      <c r="D1496" s="832"/>
      <c r="E1496" s="631"/>
      <c r="F1496" s="631"/>
      <c r="G1496" s="631"/>
      <c r="H1496" s="833"/>
      <c r="I1496" s="834"/>
      <c r="J1496" s="834"/>
      <c r="K1496" s="835"/>
      <c r="L1496" s="835"/>
      <c r="M1496" s="835"/>
      <c r="N1496" s="835"/>
      <c r="O1496" s="835"/>
      <c r="P1496" s="835"/>
      <c r="Q1496" s="540"/>
      <c r="R1496" s="540"/>
      <c r="S1496" s="540"/>
      <c r="T1496" s="540"/>
      <c r="U1496" s="540"/>
      <c r="V1496" s="540"/>
      <c r="W1496" s="540"/>
      <c r="X1496" s="540"/>
      <c r="Y1496" s="540"/>
      <c r="Z1496" s="540"/>
    </row>
    <row r="1497" spans="1:26" ht="19">
      <c r="A1497" s="631"/>
      <c r="B1497" s="631"/>
      <c r="C1497" s="631"/>
      <c r="D1497" s="832"/>
      <c r="E1497" s="631"/>
      <c r="F1497" s="631"/>
      <c r="G1497" s="631"/>
      <c r="H1497" s="833"/>
      <c r="I1497" s="834"/>
      <c r="J1497" s="834"/>
      <c r="K1497" s="835"/>
      <c r="L1497" s="835"/>
      <c r="M1497" s="835"/>
      <c r="N1497" s="835"/>
      <c r="O1497" s="835"/>
      <c r="P1497" s="835"/>
      <c r="Q1497" s="540"/>
      <c r="R1497" s="540"/>
      <c r="S1497" s="540"/>
      <c r="T1497" s="540"/>
      <c r="U1497" s="540"/>
      <c r="V1497" s="540"/>
      <c r="W1497" s="540"/>
      <c r="X1497" s="540"/>
      <c r="Y1497" s="540"/>
      <c r="Z1497" s="540"/>
    </row>
    <row r="1498" spans="1:26" ht="19">
      <c r="A1498" s="631"/>
      <c r="B1498" s="631"/>
      <c r="C1498" s="631"/>
      <c r="D1498" s="832"/>
      <c r="E1498" s="631"/>
      <c r="F1498" s="631"/>
      <c r="G1498" s="631"/>
      <c r="H1498" s="833"/>
      <c r="I1498" s="834"/>
      <c r="J1498" s="834"/>
      <c r="K1498" s="835"/>
      <c r="L1498" s="835"/>
      <c r="M1498" s="835"/>
      <c r="N1498" s="835"/>
      <c r="O1498" s="835"/>
      <c r="P1498" s="835"/>
      <c r="Q1498" s="540"/>
      <c r="R1498" s="540"/>
      <c r="S1498" s="540"/>
      <c r="T1498" s="540"/>
      <c r="U1498" s="540"/>
      <c r="V1498" s="540"/>
      <c r="W1498" s="540"/>
      <c r="X1498" s="540"/>
      <c r="Y1498" s="540"/>
      <c r="Z1498" s="540"/>
    </row>
    <row r="1499" spans="1:26" ht="19">
      <c r="A1499" s="631"/>
      <c r="B1499" s="631"/>
      <c r="C1499" s="631"/>
      <c r="D1499" s="832"/>
      <c r="E1499" s="631"/>
      <c r="F1499" s="631"/>
      <c r="G1499" s="631"/>
      <c r="H1499" s="833"/>
      <c r="I1499" s="834"/>
      <c r="J1499" s="834"/>
      <c r="K1499" s="835"/>
      <c r="L1499" s="835"/>
      <c r="M1499" s="835"/>
      <c r="N1499" s="835"/>
      <c r="O1499" s="835"/>
      <c r="P1499" s="835"/>
      <c r="Q1499" s="540"/>
      <c r="R1499" s="540"/>
      <c r="S1499" s="540"/>
      <c r="T1499" s="540"/>
      <c r="U1499" s="540"/>
      <c r="V1499" s="540"/>
      <c r="W1499" s="540"/>
      <c r="X1499" s="540"/>
      <c r="Y1499" s="540"/>
      <c r="Z1499" s="540"/>
    </row>
    <row r="1500" spans="1:26" ht="19">
      <c r="A1500" s="631"/>
      <c r="B1500" s="631"/>
      <c r="C1500" s="631"/>
      <c r="D1500" s="832"/>
      <c r="E1500" s="631"/>
      <c r="F1500" s="631"/>
      <c r="G1500" s="631"/>
      <c r="H1500" s="833"/>
      <c r="I1500" s="834"/>
      <c r="J1500" s="834"/>
      <c r="K1500" s="835"/>
      <c r="L1500" s="835"/>
      <c r="M1500" s="835"/>
      <c r="N1500" s="835"/>
      <c r="O1500" s="835"/>
      <c r="P1500" s="835"/>
      <c r="Q1500" s="540"/>
      <c r="R1500" s="540"/>
      <c r="S1500" s="540"/>
      <c r="T1500" s="540"/>
      <c r="U1500" s="540"/>
      <c r="V1500" s="540"/>
      <c r="W1500" s="540"/>
      <c r="X1500" s="540"/>
      <c r="Y1500" s="540"/>
      <c r="Z1500" s="540"/>
    </row>
    <row r="1501" spans="1:26" ht="19">
      <c r="A1501" s="631"/>
      <c r="B1501" s="631"/>
      <c r="C1501" s="631"/>
      <c r="D1501" s="832"/>
      <c r="E1501" s="631"/>
      <c r="F1501" s="631"/>
      <c r="G1501" s="631"/>
      <c r="H1501" s="833"/>
      <c r="I1501" s="834"/>
      <c r="J1501" s="834"/>
      <c r="K1501" s="835"/>
      <c r="L1501" s="835"/>
      <c r="M1501" s="835"/>
      <c r="N1501" s="835"/>
      <c r="O1501" s="835"/>
      <c r="P1501" s="835"/>
      <c r="Q1501" s="540"/>
      <c r="R1501" s="540"/>
      <c r="S1501" s="540"/>
      <c r="T1501" s="540"/>
      <c r="U1501" s="540"/>
      <c r="V1501" s="540"/>
      <c r="W1501" s="540"/>
      <c r="X1501" s="540"/>
      <c r="Y1501" s="540"/>
      <c r="Z1501" s="540"/>
    </row>
    <row r="1502" spans="1:26" ht="19">
      <c r="A1502" s="631"/>
      <c r="B1502" s="631"/>
      <c r="C1502" s="631"/>
      <c r="D1502" s="832"/>
      <c r="E1502" s="631"/>
      <c r="F1502" s="631"/>
      <c r="G1502" s="631"/>
      <c r="H1502" s="833"/>
      <c r="I1502" s="834"/>
      <c r="J1502" s="834"/>
      <c r="K1502" s="835"/>
      <c r="L1502" s="835"/>
      <c r="M1502" s="835"/>
      <c r="N1502" s="835"/>
      <c r="O1502" s="835"/>
      <c r="P1502" s="835"/>
      <c r="Q1502" s="540"/>
      <c r="R1502" s="540"/>
      <c r="S1502" s="540"/>
      <c r="T1502" s="540"/>
      <c r="U1502" s="540"/>
      <c r="V1502" s="540"/>
      <c r="W1502" s="540"/>
      <c r="X1502" s="540"/>
      <c r="Y1502" s="540"/>
      <c r="Z1502" s="540"/>
    </row>
    <row r="1503" spans="1:26" ht="19">
      <c r="A1503" s="631"/>
      <c r="B1503" s="631"/>
      <c r="C1503" s="631"/>
      <c r="D1503" s="832"/>
      <c r="E1503" s="631"/>
      <c r="F1503" s="631"/>
      <c r="G1503" s="631"/>
      <c r="H1503" s="833"/>
      <c r="I1503" s="834"/>
      <c r="J1503" s="834"/>
      <c r="K1503" s="835"/>
      <c r="L1503" s="835"/>
      <c r="M1503" s="835"/>
      <c r="N1503" s="835"/>
      <c r="O1503" s="835"/>
      <c r="P1503" s="835"/>
      <c r="Q1503" s="540"/>
      <c r="R1503" s="540"/>
      <c r="S1503" s="540"/>
      <c r="T1503" s="540"/>
      <c r="U1503" s="540"/>
      <c r="V1503" s="540"/>
      <c r="W1503" s="540"/>
      <c r="X1503" s="540"/>
      <c r="Y1503" s="540"/>
      <c r="Z1503" s="540"/>
    </row>
    <row r="1504" spans="1:26" ht="19">
      <c r="A1504" s="631"/>
      <c r="B1504" s="631"/>
      <c r="C1504" s="631"/>
      <c r="D1504" s="832"/>
      <c r="E1504" s="631"/>
      <c r="F1504" s="631"/>
      <c r="G1504" s="631"/>
      <c r="H1504" s="833"/>
      <c r="I1504" s="834"/>
      <c r="J1504" s="834"/>
      <c r="K1504" s="835"/>
      <c r="L1504" s="835"/>
      <c r="M1504" s="835"/>
      <c r="N1504" s="835"/>
      <c r="O1504" s="835"/>
      <c r="P1504" s="835"/>
      <c r="Q1504" s="540"/>
      <c r="R1504" s="540"/>
      <c r="S1504" s="540"/>
      <c r="T1504" s="540"/>
      <c r="U1504" s="540"/>
      <c r="V1504" s="540"/>
      <c r="W1504" s="540"/>
      <c r="X1504" s="540"/>
      <c r="Y1504" s="540"/>
      <c r="Z1504" s="540"/>
    </row>
    <row r="1505" spans="1:26" ht="19">
      <c r="A1505" s="631"/>
      <c r="B1505" s="631"/>
      <c r="C1505" s="631"/>
      <c r="D1505" s="832"/>
      <c r="E1505" s="631"/>
      <c r="F1505" s="631"/>
      <c r="G1505" s="631"/>
      <c r="H1505" s="833"/>
      <c r="I1505" s="834"/>
      <c r="J1505" s="834"/>
      <c r="K1505" s="835"/>
      <c r="L1505" s="835"/>
      <c r="M1505" s="835"/>
      <c r="N1505" s="835"/>
      <c r="O1505" s="835"/>
      <c r="P1505" s="835"/>
      <c r="Q1505" s="540"/>
      <c r="R1505" s="540"/>
      <c r="S1505" s="540"/>
      <c r="T1505" s="540"/>
      <c r="U1505" s="540"/>
      <c r="V1505" s="540"/>
      <c r="W1505" s="540"/>
      <c r="X1505" s="540"/>
      <c r="Y1505" s="540"/>
      <c r="Z1505" s="540"/>
    </row>
    <row r="1506" spans="1:26" ht="19">
      <c r="A1506" s="631"/>
      <c r="B1506" s="631"/>
      <c r="C1506" s="631"/>
      <c r="D1506" s="832"/>
      <c r="E1506" s="631"/>
      <c r="F1506" s="631"/>
      <c r="G1506" s="631"/>
      <c r="H1506" s="833"/>
      <c r="I1506" s="834"/>
      <c r="J1506" s="834"/>
      <c r="K1506" s="835"/>
      <c r="L1506" s="835"/>
      <c r="M1506" s="835"/>
      <c r="N1506" s="835"/>
      <c r="O1506" s="835"/>
      <c r="P1506" s="835"/>
      <c r="Q1506" s="540"/>
      <c r="R1506" s="540"/>
      <c r="S1506" s="540"/>
      <c r="T1506" s="540"/>
      <c r="U1506" s="540"/>
      <c r="V1506" s="540"/>
      <c r="W1506" s="540"/>
      <c r="X1506" s="540"/>
      <c r="Y1506" s="540"/>
      <c r="Z1506" s="540"/>
    </row>
    <row r="1507" spans="1:26" ht="19">
      <c r="A1507" s="631"/>
      <c r="B1507" s="631"/>
      <c r="C1507" s="631"/>
      <c r="D1507" s="832"/>
      <c r="E1507" s="631"/>
      <c r="F1507" s="631"/>
      <c r="G1507" s="631"/>
      <c r="H1507" s="833"/>
      <c r="I1507" s="834"/>
      <c r="J1507" s="834"/>
      <c r="K1507" s="835"/>
      <c r="L1507" s="835"/>
      <c r="M1507" s="835"/>
      <c r="N1507" s="835"/>
      <c r="O1507" s="835"/>
      <c r="P1507" s="835"/>
      <c r="Q1507" s="540"/>
      <c r="R1507" s="540"/>
      <c r="S1507" s="540"/>
      <c r="T1507" s="540"/>
      <c r="U1507" s="540"/>
      <c r="V1507" s="540"/>
      <c r="W1507" s="540"/>
      <c r="X1507" s="540"/>
      <c r="Y1507" s="540"/>
      <c r="Z1507" s="540"/>
    </row>
    <row r="1508" spans="1:26" ht="19">
      <c r="A1508" s="631"/>
      <c r="B1508" s="631"/>
      <c r="C1508" s="631"/>
      <c r="D1508" s="832"/>
      <c r="E1508" s="631"/>
      <c r="F1508" s="631"/>
      <c r="G1508" s="631"/>
      <c r="H1508" s="833"/>
      <c r="I1508" s="834"/>
      <c r="J1508" s="834"/>
      <c r="K1508" s="835"/>
      <c r="L1508" s="835"/>
      <c r="M1508" s="835"/>
      <c r="N1508" s="835"/>
      <c r="O1508" s="835"/>
      <c r="P1508" s="835"/>
      <c r="Q1508" s="540"/>
      <c r="R1508" s="540"/>
      <c r="S1508" s="540"/>
      <c r="T1508" s="540"/>
      <c r="U1508" s="540"/>
      <c r="V1508" s="540"/>
      <c r="W1508" s="540"/>
      <c r="X1508" s="540"/>
      <c r="Y1508" s="540"/>
      <c r="Z1508" s="540"/>
    </row>
    <row r="1509" spans="1:26" ht="19">
      <c r="A1509" s="631"/>
      <c r="B1509" s="631"/>
      <c r="C1509" s="631"/>
      <c r="D1509" s="832"/>
      <c r="E1509" s="631"/>
      <c r="F1509" s="631"/>
      <c r="G1509" s="631"/>
      <c r="H1509" s="833"/>
      <c r="I1509" s="834"/>
      <c r="J1509" s="834"/>
      <c r="K1509" s="835"/>
      <c r="L1509" s="835"/>
      <c r="M1509" s="835"/>
      <c r="N1509" s="835"/>
      <c r="O1509" s="835"/>
      <c r="P1509" s="835"/>
      <c r="Q1509" s="540"/>
      <c r="R1509" s="540"/>
      <c r="S1509" s="540"/>
      <c r="T1509" s="540"/>
      <c r="U1509" s="540"/>
      <c r="V1509" s="540"/>
      <c r="W1509" s="540"/>
      <c r="X1509" s="540"/>
      <c r="Y1509" s="540"/>
      <c r="Z1509" s="540"/>
    </row>
    <row r="1510" spans="1:26" ht="19">
      <c r="A1510" s="631"/>
      <c r="B1510" s="631"/>
      <c r="C1510" s="631"/>
      <c r="D1510" s="832"/>
      <c r="E1510" s="631"/>
      <c r="F1510" s="631"/>
      <c r="G1510" s="631"/>
      <c r="H1510" s="833"/>
      <c r="I1510" s="834"/>
      <c r="J1510" s="834"/>
      <c r="K1510" s="835"/>
      <c r="L1510" s="835"/>
      <c r="M1510" s="835"/>
      <c r="N1510" s="835"/>
      <c r="O1510" s="835"/>
      <c r="P1510" s="835"/>
      <c r="Q1510" s="540"/>
      <c r="R1510" s="540"/>
      <c r="S1510" s="540"/>
      <c r="T1510" s="540"/>
      <c r="U1510" s="540"/>
      <c r="V1510" s="540"/>
      <c r="W1510" s="540"/>
      <c r="X1510" s="540"/>
      <c r="Y1510" s="540"/>
      <c r="Z1510" s="540"/>
    </row>
    <row r="1511" spans="1:26" ht="19">
      <c r="A1511" s="631"/>
      <c r="B1511" s="631"/>
      <c r="C1511" s="631"/>
      <c r="D1511" s="832"/>
      <c r="E1511" s="631"/>
      <c r="F1511" s="631"/>
      <c r="G1511" s="631"/>
      <c r="H1511" s="833"/>
      <c r="I1511" s="834"/>
      <c r="J1511" s="834"/>
      <c r="K1511" s="835"/>
      <c r="L1511" s="835"/>
      <c r="M1511" s="835"/>
      <c r="N1511" s="835"/>
      <c r="O1511" s="835"/>
      <c r="P1511" s="835"/>
      <c r="Q1511" s="540"/>
      <c r="R1511" s="540"/>
      <c r="S1511" s="540"/>
      <c r="T1511" s="540"/>
      <c r="U1511" s="540"/>
      <c r="V1511" s="540"/>
      <c r="W1511" s="540"/>
      <c r="X1511" s="540"/>
      <c r="Y1511" s="540"/>
      <c r="Z1511" s="540"/>
    </row>
    <row r="1512" spans="1:26" ht="19">
      <c r="A1512" s="631"/>
      <c r="B1512" s="631"/>
      <c r="C1512" s="631"/>
      <c r="D1512" s="832"/>
      <c r="E1512" s="631"/>
      <c r="F1512" s="631"/>
      <c r="G1512" s="631"/>
      <c r="H1512" s="833"/>
      <c r="I1512" s="834"/>
      <c r="J1512" s="834"/>
      <c r="K1512" s="835"/>
      <c r="L1512" s="835"/>
      <c r="M1512" s="835"/>
      <c r="N1512" s="835"/>
      <c r="O1512" s="835"/>
      <c r="P1512" s="835"/>
      <c r="Q1512" s="540"/>
      <c r="R1512" s="540"/>
      <c r="S1512" s="540"/>
      <c r="T1512" s="540"/>
      <c r="U1512" s="540"/>
      <c r="V1512" s="540"/>
      <c r="W1512" s="540"/>
      <c r="X1512" s="540"/>
      <c r="Y1512" s="540"/>
      <c r="Z1512" s="540"/>
    </row>
    <row r="1513" spans="1:26" ht="19">
      <c r="A1513" s="631"/>
      <c r="B1513" s="631"/>
      <c r="C1513" s="631"/>
      <c r="D1513" s="832"/>
      <c r="E1513" s="631"/>
      <c r="F1513" s="631"/>
      <c r="G1513" s="631"/>
      <c r="H1513" s="833"/>
      <c r="I1513" s="834"/>
      <c r="J1513" s="834"/>
      <c r="K1513" s="835"/>
      <c r="L1513" s="835"/>
      <c r="M1513" s="835"/>
      <c r="N1513" s="835"/>
      <c r="O1513" s="835"/>
      <c r="P1513" s="835"/>
      <c r="Q1513" s="540"/>
      <c r="R1513" s="540"/>
      <c r="S1513" s="540"/>
      <c r="T1513" s="540"/>
      <c r="U1513" s="540"/>
      <c r="V1513" s="540"/>
      <c r="W1513" s="540"/>
      <c r="X1513" s="540"/>
      <c r="Y1513" s="540"/>
      <c r="Z1513" s="540"/>
    </row>
    <row r="1514" spans="1:26" ht="19">
      <c r="A1514" s="631"/>
      <c r="B1514" s="631"/>
      <c r="C1514" s="631"/>
      <c r="D1514" s="832"/>
      <c r="E1514" s="631"/>
      <c r="F1514" s="631"/>
      <c r="G1514" s="631"/>
      <c r="H1514" s="833"/>
      <c r="I1514" s="834"/>
      <c r="J1514" s="834"/>
      <c r="K1514" s="835"/>
      <c r="L1514" s="835"/>
      <c r="M1514" s="835"/>
      <c r="N1514" s="835"/>
      <c r="O1514" s="835"/>
      <c r="P1514" s="835"/>
      <c r="Q1514" s="540"/>
      <c r="R1514" s="540"/>
      <c r="S1514" s="540"/>
      <c r="T1514" s="540"/>
      <c r="U1514" s="540"/>
      <c r="V1514" s="540"/>
      <c r="W1514" s="540"/>
      <c r="X1514" s="540"/>
      <c r="Y1514" s="540"/>
      <c r="Z1514" s="540"/>
    </row>
    <row r="1515" spans="1:26" ht="19">
      <c r="A1515" s="631"/>
      <c r="B1515" s="631"/>
      <c r="C1515" s="631"/>
      <c r="D1515" s="832"/>
      <c r="E1515" s="631"/>
      <c r="F1515" s="631"/>
      <c r="G1515" s="631"/>
      <c r="H1515" s="833"/>
      <c r="I1515" s="834"/>
      <c r="J1515" s="834"/>
      <c r="K1515" s="835"/>
      <c r="L1515" s="835"/>
      <c r="M1515" s="835"/>
      <c r="N1515" s="835"/>
      <c r="O1515" s="835"/>
      <c r="P1515" s="835"/>
      <c r="Q1515" s="540"/>
      <c r="R1515" s="540"/>
      <c r="S1515" s="540"/>
      <c r="T1515" s="540"/>
      <c r="U1515" s="540"/>
      <c r="V1515" s="540"/>
      <c r="W1515" s="540"/>
      <c r="X1515" s="540"/>
      <c r="Y1515" s="540"/>
      <c r="Z1515" s="540"/>
    </row>
    <row r="1516" spans="1:26" ht="19">
      <c r="A1516" s="631"/>
      <c r="B1516" s="631"/>
      <c r="C1516" s="631"/>
      <c r="D1516" s="832"/>
      <c r="E1516" s="631"/>
      <c r="F1516" s="631"/>
      <c r="G1516" s="631"/>
      <c r="H1516" s="833"/>
      <c r="I1516" s="834"/>
      <c r="J1516" s="834"/>
      <c r="K1516" s="835"/>
      <c r="L1516" s="835"/>
      <c r="M1516" s="835"/>
      <c r="N1516" s="835"/>
      <c r="O1516" s="835"/>
      <c r="P1516" s="835"/>
      <c r="Q1516" s="540"/>
      <c r="R1516" s="540"/>
      <c r="S1516" s="540"/>
      <c r="T1516" s="540"/>
      <c r="U1516" s="540"/>
      <c r="V1516" s="540"/>
      <c r="W1516" s="540"/>
      <c r="X1516" s="540"/>
      <c r="Y1516" s="540"/>
      <c r="Z1516" s="540"/>
    </row>
    <row r="1517" spans="1:26" ht="19">
      <c r="A1517" s="631"/>
      <c r="B1517" s="631"/>
      <c r="C1517" s="631"/>
      <c r="D1517" s="832"/>
      <c r="E1517" s="631"/>
      <c r="F1517" s="631"/>
      <c r="G1517" s="631"/>
      <c r="H1517" s="833"/>
      <c r="I1517" s="834"/>
      <c r="J1517" s="834"/>
      <c r="K1517" s="835"/>
      <c r="L1517" s="835"/>
      <c r="M1517" s="835"/>
      <c r="N1517" s="835"/>
      <c r="O1517" s="835"/>
      <c r="P1517" s="835"/>
      <c r="Q1517" s="540"/>
      <c r="R1517" s="540"/>
      <c r="S1517" s="540"/>
      <c r="T1517" s="540"/>
      <c r="U1517" s="540"/>
      <c r="V1517" s="540"/>
      <c r="W1517" s="540"/>
      <c r="X1517" s="540"/>
      <c r="Y1517" s="540"/>
      <c r="Z1517" s="540"/>
    </row>
    <row r="1518" spans="1:26" ht="19">
      <c r="A1518" s="631"/>
      <c r="B1518" s="631"/>
      <c r="C1518" s="631"/>
      <c r="D1518" s="832"/>
      <c r="E1518" s="631"/>
      <c r="F1518" s="631"/>
      <c r="G1518" s="631"/>
      <c r="H1518" s="833"/>
      <c r="I1518" s="834"/>
      <c r="J1518" s="834"/>
      <c r="K1518" s="835"/>
      <c r="L1518" s="835"/>
      <c r="M1518" s="835"/>
      <c r="N1518" s="835"/>
      <c r="O1518" s="835"/>
      <c r="P1518" s="835"/>
      <c r="Q1518" s="540"/>
      <c r="R1518" s="540"/>
      <c r="S1518" s="540"/>
      <c r="T1518" s="540"/>
      <c r="U1518" s="540"/>
      <c r="V1518" s="540"/>
      <c r="W1518" s="540"/>
      <c r="X1518" s="540"/>
      <c r="Y1518" s="540"/>
      <c r="Z1518" s="540"/>
    </row>
    <row r="1519" spans="1:26" ht="19">
      <c r="A1519" s="631"/>
      <c r="B1519" s="631"/>
      <c r="C1519" s="631"/>
      <c r="D1519" s="832"/>
      <c r="E1519" s="631"/>
      <c r="F1519" s="631"/>
      <c r="G1519" s="631"/>
      <c r="H1519" s="833"/>
      <c r="I1519" s="834"/>
      <c r="J1519" s="834"/>
      <c r="K1519" s="835"/>
      <c r="L1519" s="835"/>
      <c r="M1519" s="835"/>
      <c r="N1519" s="835"/>
      <c r="O1519" s="835"/>
      <c r="P1519" s="835"/>
      <c r="Q1519" s="540"/>
      <c r="R1519" s="540"/>
      <c r="S1519" s="540"/>
      <c r="T1519" s="540"/>
      <c r="U1519" s="540"/>
      <c r="V1519" s="540"/>
      <c r="W1519" s="540"/>
      <c r="X1519" s="540"/>
      <c r="Y1519" s="540"/>
      <c r="Z1519" s="540"/>
    </row>
    <row r="1520" spans="1:26" ht="19">
      <c r="A1520" s="631"/>
      <c r="B1520" s="631"/>
      <c r="C1520" s="631"/>
      <c r="D1520" s="832"/>
      <c r="E1520" s="631"/>
      <c r="F1520" s="631"/>
      <c r="G1520" s="631"/>
      <c r="H1520" s="833"/>
      <c r="I1520" s="834"/>
      <c r="J1520" s="834"/>
      <c r="K1520" s="835"/>
      <c r="L1520" s="835"/>
      <c r="M1520" s="835"/>
      <c r="N1520" s="835"/>
      <c r="O1520" s="835"/>
      <c r="P1520" s="835"/>
      <c r="Q1520" s="540"/>
      <c r="R1520" s="540"/>
      <c r="S1520" s="540"/>
      <c r="T1520" s="540"/>
      <c r="U1520" s="540"/>
      <c r="V1520" s="540"/>
      <c r="W1520" s="540"/>
      <c r="X1520" s="540"/>
      <c r="Y1520" s="540"/>
      <c r="Z1520" s="540"/>
    </row>
    <row r="1521" spans="1:26" ht="19">
      <c r="A1521" s="631"/>
      <c r="B1521" s="631"/>
      <c r="C1521" s="631"/>
      <c r="D1521" s="832"/>
      <c r="E1521" s="631"/>
      <c r="F1521" s="631"/>
      <c r="G1521" s="631"/>
      <c r="H1521" s="833"/>
      <c r="I1521" s="834"/>
      <c r="J1521" s="834"/>
      <c r="K1521" s="835"/>
      <c r="L1521" s="835"/>
      <c r="M1521" s="835"/>
      <c r="N1521" s="835"/>
      <c r="O1521" s="835"/>
      <c r="P1521" s="835"/>
      <c r="Q1521" s="540"/>
      <c r="R1521" s="540"/>
      <c r="S1521" s="540"/>
      <c r="T1521" s="540"/>
      <c r="U1521" s="540"/>
      <c r="V1521" s="540"/>
      <c r="W1521" s="540"/>
      <c r="X1521" s="540"/>
      <c r="Y1521" s="540"/>
      <c r="Z1521" s="540"/>
    </row>
    <row r="1522" spans="1:26" ht="19">
      <c r="A1522" s="631"/>
      <c r="B1522" s="631"/>
      <c r="C1522" s="631"/>
      <c r="D1522" s="832"/>
      <c r="E1522" s="631"/>
      <c r="F1522" s="631"/>
      <c r="G1522" s="631"/>
      <c r="H1522" s="833"/>
      <c r="I1522" s="834"/>
      <c r="J1522" s="834"/>
      <c r="K1522" s="835"/>
      <c r="L1522" s="835"/>
      <c r="M1522" s="835"/>
      <c r="N1522" s="835"/>
      <c r="O1522" s="835"/>
      <c r="P1522" s="835"/>
      <c r="Q1522" s="540"/>
      <c r="R1522" s="540"/>
      <c r="S1522" s="540"/>
      <c r="T1522" s="540"/>
      <c r="U1522" s="540"/>
      <c r="V1522" s="540"/>
      <c r="W1522" s="540"/>
      <c r="X1522" s="540"/>
      <c r="Y1522" s="540"/>
      <c r="Z1522" s="540"/>
    </row>
    <row r="1523" spans="1:26" ht="19">
      <c r="A1523" s="631"/>
      <c r="B1523" s="631"/>
      <c r="C1523" s="631"/>
      <c r="D1523" s="832"/>
      <c r="E1523" s="631"/>
      <c r="F1523" s="631"/>
      <c r="G1523" s="631"/>
      <c r="H1523" s="833"/>
      <c r="I1523" s="834"/>
      <c r="J1523" s="834"/>
      <c r="K1523" s="835"/>
      <c r="L1523" s="835"/>
      <c r="M1523" s="835"/>
      <c r="N1523" s="835"/>
      <c r="O1523" s="835"/>
      <c r="P1523" s="835"/>
      <c r="Q1523" s="540"/>
      <c r="R1523" s="540"/>
      <c r="S1523" s="540"/>
      <c r="T1523" s="540"/>
      <c r="U1523" s="540"/>
      <c r="V1523" s="540"/>
      <c r="W1523" s="540"/>
      <c r="X1523" s="540"/>
      <c r="Y1523" s="540"/>
      <c r="Z1523" s="540"/>
    </row>
    <row r="1524" spans="1:26" ht="19">
      <c r="A1524" s="631"/>
      <c r="B1524" s="631"/>
      <c r="C1524" s="631"/>
      <c r="D1524" s="832"/>
      <c r="E1524" s="631"/>
      <c r="F1524" s="631"/>
      <c r="G1524" s="631"/>
      <c r="H1524" s="833"/>
      <c r="I1524" s="834"/>
      <c r="J1524" s="834"/>
      <c r="K1524" s="835"/>
      <c r="L1524" s="835"/>
      <c r="M1524" s="835"/>
      <c r="N1524" s="835"/>
      <c r="O1524" s="835"/>
      <c r="P1524" s="835"/>
      <c r="Q1524" s="540"/>
      <c r="R1524" s="540"/>
      <c r="S1524" s="540"/>
      <c r="T1524" s="540"/>
      <c r="U1524" s="540"/>
      <c r="V1524" s="540"/>
      <c r="W1524" s="540"/>
      <c r="X1524" s="540"/>
      <c r="Y1524" s="540"/>
      <c r="Z1524" s="540"/>
    </row>
    <row r="1525" spans="1:26" ht="19">
      <c r="A1525" s="631"/>
      <c r="B1525" s="631"/>
      <c r="C1525" s="631"/>
      <c r="D1525" s="832"/>
      <c r="E1525" s="631"/>
      <c r="F1525" s="631"/>
      <c r="G1525" s="631"/>
      <c r="H1525" s="833"/>
      <c r="I1525" s="834"/>
      <c r="J1525" s="834"/>
      <c r="K1525" s="835"/>
      <c r="L1525" s="835"/>
      <c r="M1525" s="835"/>
      <c r="N1525" s="835"/>
      <c r="O1525" s="835"/>
      <c r="P1525" s="835"/>
      <c r="Q1525" s="540"/>
      <c r="R1525" s="540"/>
      <c r="S1525" s="540"/>
      <c r="T1525" s="540"/>
      <c r="U1525" s="540"/>
      <c r="V1525" s="540"/>
      <c r="W1525" s="540"/>
      <c r="X1525" s="540"/>
      <c r="Y1525" s="540"/>
      <c r="Z1525" s="540"/>
    </row>
    <row r="1526" spans="1:26" ht="19">
      <c r="A1526" s="631"/>
      <c r="B1526" s="631"/>
      <c r="C1526" s="631"/>
      <c r="D1526" s="832"/>
      <c r="E1526" s="631"/>
      <c r="F1526" s="631"/>
      <c r="G1526" s="631"/>
      <c r="H1526" s="833"/>
      <c r="I1526" s="834"/>
      <c r="J1526" s="834"/>
      <c r="K1526" s="835"/>
      <c r="L1526" s="835"/>
      <c r="M1526" s="835"/>
      <c r="N1526" s="835"/>
      <c r="O1526" s="835"/>
      <c r="P1526" s="835"/>
      <c r="Q1526" s="540"/>
      <c r="R1526" s="540"/>
      <c r="S1526" s="540"/>
      <c r="T1526" s="540"/>
      <c r="U1526" s="540"/>
      <c r="V1526" s="540"/>
      <c r="W1526" s="540"/>
      <c r="X1526" s="540"/>
      <c r="Y1526" s="540"/>
      <c r="Z1526" s="540"/>
    </row>
    <row r="1527" spans="1:26" ht="19">
      <c r="A1527" s="631"/>
      <c r="B1527" s="631"/>
      <c r="C1527" s="631"/>
      <c r="D1527" s="832"/>
      <c r="E1527" s="631"/>
      <c r="F1527" s="631"/>
      <c r="G1527" s="631"/>
      <c r="H1527" s="833"/>
      <c r="I1527" s="834"/>
      <c r="J1527" s="834"/>
      <c r="K1527" s="835"/>
      <c r="L1527" s="835"/>
      <c r="M1527" s="835"/>
      <c r="N1527" s="835"/>
      <c r="O1527" s="835"/>
      <c r="P1527" s="835"/>
      <c r="Q1527" s="540"/>
      <c r="R1527" s="540"/>
      <c r="S1527" s="540"/>
      <c r="T1527" s="540"/>
      <c r="U1527" s="540"/>
      <c r="V1527" s="540"/>
      <c r="W1527" s="540"/>
      <c r="X1527" s="540"/>
      <c r="Y1527" s="540"/>
      <c r="Z1527" s="540"/>
    </row>
    <row r="1528" spans="1:26" ht="19">
      <c r="A1528" s="631"/>
      <c r="B1528" s="631"/>
      <c r="C1528" s="631"/>
      <c r="D1528" s="832"/>
      <c r="E1528" s="631"/>
      <c r="F1528" s="631"/>
      <c r="G1528" s="631"/>
      <c r="H1528" s="833"/>
      <c r="I1528" s="834"/>
      <c r="J1528" s="834"/>
      <c r="K1528" s="835"/>
      <c r="L1528" s="835"/>
      <c r="M1528" s="835"/>
      <c r="N1528" s="835"/>
      <c r="O1528" s="835"/>
      <c r="P1528" s="835"/>
      <c r="Q1528" s="540"/>
      <c r="R1528" s="540"/>
      <c r="S1528" s="540"/>
      <c r="T1528" s="540"/>
      <c r="U1528" s="540"/>
      <c r="V1528" s="540"/>
      <c r="W1528" s="540"/>
      <c r="X1528" s="540"/>
      <c r="Y1528" s="540"/>
      <c r="Z1528" s="540"/>
    </row>
    <row r="1529" spans="1:26" ht="19">
      <c r="A1529" s="631"/>
      <c r="B1529" s="631"/>
      <c r="C1529" s="631"/>
      <c r="D1529" s="832"/>
      <c r="E1529" s="631"/>
      <c r="F1529" s="631"/>
      <c r="G1529" s="631"/>
      <c r="H1529" s="833"/>
      <c r="I1529" s="834"/>
      <c r="J1529" s="834"/>
      <c r="K1529" s="835"/>
      <c r="L1529" s="835"/>
      <c r="M1529" s="835"/>
      <c r="N1529" s="835"/>
      <c r="O1529" s="835"/>
      <c r="P1529" s="835"/>
      <c r="Q1529" s="540"/>
      <c r="R1529" s="540"/>
      <c r="S1529" s="540"/>
      <c r="T1529" s="540"/>
      <c r="U1529" s="540"/>
      <c r="V1529" s="540"/>
      <c r="W1529" s="540"/>
      <c r="X1529" s="540"/>
      <c r="Y1529" s="540"/>
      <c r="Z1529" s="540"/>
    </row>
    <row r="1530" spans="1:26" ht="19">
      <c r="A1530" s="631"/>
      <c r="B1530" s="631"/>
      <c r="C1530" s="631"/>
      <c r="D1530" s="832"/>
      <c r="E1530" s="631"/>
      <c r="F1530" s="631"/>
      <c r="G1530" s="631"/>
      <c r="H1530" s="833"/>
      <c r="I1530" s="834"/>
      <c r="J1530" s="834"/>
      <c r="K1530" s="835"/>
      <c r="L1530" s="835"/>
      <c r="M1530" s="835"/>
      <c r="N1530" s="835"/>
      <c r="O1530" s="835"/>
      <c r="P1530" s="835"/>
      <c r="Q1530" s="540"/>
      <c r="R1530" s="540"/>
      <c r="S1530" s="540"/>
      <c r="T1530" s="540"/>
      <c r="U1530" s="540"/>
      <c r="V1530" s="540"/>
      <c r="W1530" s="540"/>
      <c r="X1530" s="540"/>
      <c r="Y1530" s="540"/>
      <c r="Z1530" s="540"/>
    </row>
    <row r="1531" spans="1:26" ht="19">
      <c r="A1531" s="631"/>
      <c r="B1531" s="631"/>
      <c r="C1531" s="631"/>
      <c r="D1531" s="832"/>
      <c r="E1531" s="631"/>
      <c r="F1531" s="631"/>
      <c r="G1531" s="631"/>
      <c r="H1531" s="833"/>
      <c r="I1531" s="834"/>
      <c r="J1531" s="834"/>
      <c r="K1531" s="835"/>
      <c r="L1531" s="835"/>
      <c r="M1531" s="835"/>
      <c r="N1531" s="835"/>
      <c r="O1531" s="835"/>
      <c r="P1531" s="835"/>
      <c r="Q1531" s="540"/>
      <c r="R1531" s="540"/>
      <c r="S1531" s="540"/>
      <c r="T1531" s="540"/>
      <c r="U1531" s="540"/>
      <c r="V1531" s="540"/>
      <c r="W1531" s="540"/>
      <c r="X1531" s="540"/>
      <c r="Y1531" s="540"/>
      <c r="Z1531" s="540"/>
    </row>
    <row r="1532" spans="1:26" ht="19">
      <c r="A1532" s="631"/>
      <c r="B1532" s="631"/>
      <c r="C1532" s="631"/>
      <c r="D1532" s="832"/>
      <c r="E1532" s="631"/>
      <c r="F1532" s="631"/>
      <c r="G1532" s="631"/>
      <c r="H1532" s="833"/>
      <c r="I1532" s="834"/>
      <c r="J1532" s="834"/>
      <c r="K1532" s="835"/>
      <c r="L1532" s="835"/>
      <c r="M1532" s="835"/>
      <c r="N1532" s="835"/>
      <c r="O1532" s="835"/>
      <c r="P1532" s="835"/>
      <c r="Q1532" s="540"/>
      <c r="R1532" s="540"/>
      <c r="S1532" s="540"/>
      <c r="T1532" s="540"/>
      <c r="U1532" s="540"/>
      <c r="V1532" s="540"/>
      <c r="W1532" s="540"/>
      <c r="X1532" s="540"/>
      <c r="Y1532" s="540"/>
      <c r="Z1532" s="540"/>
    </row>
    <row r="1533" spans="1:26" ht="19">
      <c r="A1533" s="631"/>
      <c r="B1533" s="631"/>
      <c r="C1533" s="631"/>
      <c r="D1533" s="832"/>
      <c r="E1533" s="631"/>
      <c r="F1533" s="631"/>
      <c r="G1533" s="631"/>
      <c r="H1533" s="833"/>
      <c r="I1533" s="834"/>
      <c r="J1533" s="834"/>
      <c r="K1533" s="835"/>
      <c r="L1533" s="835"/>
      <c r="M1533" s="835"/>
      <c r="N1533" s="835"/>
      <c r="O1533" s="835"/>
      <c r="P1533" s="835"/>
      <c r="Q1533" s="540"/>
      <c r="R1533" s="540"/>
      <c r="S1533" s="540"/>
      <c r="T1533" s="540"/>
      <c r="U1533" s="540"/>
      <c r="V1533" s="540"/>
      <c r="W1533" s="540"/>
      <c r="X1533" s="540"/>
      <c r="Y1533" s="540"/>
      <c r="Z1533" s="540"/>
    </row>
    <row r="1534" spans="1:26" ht="19">
      <c r="A1534" s="631"/>
      <c r="B1534" s="631"/>
      <c r="C1534" s="631"/>
      <c r="D1534" s="832"/>
      <c r="E1534" s="631"/>
      <c r="F1534" s="631"/>
      <c r="G1534" s="631"/>
      <c r="H1534" s="833"/>
      <c r="I1534" s="834"/>
      <c r="J1534" s="834"/>
      <c r="K1534" s="835"/>
      <c r="L1534" s="835"/>
      <c r="M1534" s="835"/>
      <c r="N1534" s="835"/>
      <c r="O1534" s="835"/>
      <c r="P1534" s="835"/>
      <c r="Q1534" s="540"/>
      <c r="R1534" s="540"/>
      <c r="S1534" s="540"/>
      <c r="T1534" s="540"/>
      <c r="U1534" s="540"/>
      <c r="V1534" s="540"/>
      <c r="W1534" s="540"/>
      <c r="X1534" s="540"/>
      <c r="Y1534" s="540"/>
      <c r="Z1534" s="540"/>
    </row>
    <row r="1535" spans="1:26" ht="19">
      <c r="A1535" s="631"/>
      <c r="B1535" s="631"/>
      <c r="C1535" s="631"/>
      <c r="D1535" s="832"/>
      <c r="E1535" s="631"/>
      <c r="F1535" s="631"/>
      <c r="G1535" s="631"/>
      <c r="H1535" s="833"/>
      <c r="I1535" s="834"/>
      <c r="J1535" s="834"/>
      <c r="K1535" s="835"/>
      <c r="L1535" s="835"/>
      <c r="M1535" s="835"/>
      <c r="N1535" s="835"/>
      <c r="O1535" s="835"/>
      <c r="P1535" s="835"/>
      <c r="Q1535" s="540"/>
      <c r="R1535" s="540"/>
      <c r="S1535" s="540"/>
      <c r="T1535" s="540"/>
      <c r="U1535" s="540"/>
      <c r="V1535" s="540"/>
      <c r="W1535" s="540"/>
      <c r="X1535" s="540"/>
      <c r="Y1535" s="540"/>
      <c r="Z1535" s="540"/>
    </row>
    <row r="1536" spans="1:26" ht="19">
      <c r="A1536" s="631"/>
      <c r="B1536" s="631"/>
      <c r="C1536" s="631"/>
      <c r="D1536" s="832"/>
      <c r="E1536" s="631"/>
      <c r="F1536" s="631"/>
      <c r="G1536" s="631"/>
      <c r="H1536" s="833"/>
      <c r="I1536" s="834"/>
      <c r="J1536" s="834"/>
      <c r="K1536" s="835"/>
      <c r="L1536" s="835"/>
      <c r="M1536" s="835"/>
      <c r="N1536" s="835"/>
      <c r="O1536" s="835"/>
      <c r="P1536" s="835"/>
      <c r="Q1536" s="540"/>
      <c r="R1536" s="540"/>
      <c r="S1536" s="540"/>
      <c r="T1536" s="540"/>
      <c r="U1536" s="540"/>
      <c r="V1536" s="540"/>
      <c r="W1536" s="540"/>
      <c r="X1536" s="540"/>
      <c r="Y1536" s="540"/>
      <c r="Z1536" s="540"/>
    </row>
    <row r="1537" spans="1:26" ht="19">
      <c r="A1537" s="631"/>
      <c r="B1537" s="631"/>
      <c r="C1537" s="631"/>
      <c r="D1537" s="832"/>
      <c r="E1537" s="631"/>
      <c r="F1537" s="631"/>
      <c r="G1537" s="631"/>
      <c r="H1537" s="833"/>
      <c r="I1537" s="834"/>
      <c r="J1537" s="834"/>
      <c r="K1537" s="835"/>
      <c r="L1537" s="835"/>
      <c r="M1537" s="835"/>
      <c r="N1537" s="835"/>
      <c r="O1537" s="835"/>
      <c r="P1537" s="835"/>
      <c r="Q1537" s="540"/>
      <c r="R1537" s="540"/>
      <c r="S1537" s="540"/>
      <c r="T1537" s="540"/>
      <c r="U1537" s="540"/>
      <c r="V1537" s="540"/>
      <c r="W1537" s="540"/>
      <c r="X1537" s="540"/>
      <c r="Y1537" s="540"/>
      <c r="Z1537" s="540"/>
    </row>
    <row r="1538" spans="1:26" ht="19">
      <c r="A1538" s="631"/>
      <c r="B1538" s="631"/>
      <c r="C1538" s="631"/>
      <c r="D1538" s="832"/>
      <c r="E1538" s="631"/>
      <c r="F1538" s="631"/>
      <c r="G1538" s="631"/>
      <c r="H1538" s="833"/>
      <c r="I1538" s="834"/>
      <c r="J1538" s="834"/>
      <c r="K1538" s="835"/>
      <c r="L1538" s="835"/>
      <c r="M1538" s="835"/>
      <c r="N1538" s="835"/>
      <c r="O1538" s="835"/>
      <c r="P1538" s="835"/>
      <c r="Q1538" s="540"/>
      <c r="R1538" s="540"/>
      <c r="S1538" s="540"/>
      <c r="T1538" s="540"/>
      <c r="U1538" s="540"/>
      <c r="V1538" s="540"/>
      <c r="W1538" s="540"/>
      <c r="X1538" s="540"/>
      <c r="Y1538" s="540"/>
      <c r="Z1538" s="540"/>
    </row>
    <row r="1539" spans="1:26" ht="19">
      <c r="A1539" s="631"/>
      <c r="B1539" s="631"/>
      <c r="C1539" s="631"/>
      <c r="D1539" s="832"/>
      <c r="E1539" s="631"/>
      <c r="F1539" s="631"/>
      <c r="G1539" s="631"/>
      <c r="H1539" s="833"/>
      <c r="I1539" s="834"/>
      <c r="J1539" s="834"/>
      <c r="K1539" s="835"/>
      <c r="L1539" s="835"/>
      <c r="M1539" s="835"/>
      <c r="N1539" s="835"/>
      <c r="O1539" s="835"/>
      <c r="P1539" s="835"/>
      <c r="Q1539" s="540"/>
      <c r="R1539" s="540"/>
      <c r="S1539" s="540"/>
      <c r="T1539" s="540"/>
      <c r="U1539" s="540"/>
      <c r="V1539" s="540"/>
      <c r="W1539" s="540"/>
      <c r="X1539" s="540"/>
      <c r="Y1539" s="540"/>
      <c r="Z1539" s="540"/>
    </row>
    <row r="1540" spans="1:26" ht="19">
      <c r="A1540" s="631"/>
      <c r="B1540" s="631"/>
      <c r="C1540" s="631"/>
      <c r="D1540" s="832"/>
      <c r="E1540" s="631"/>
      <c r="F1540" s="631"/>
      <c r="G1540" s="631"/>
      <c r="H1540" s="833"/>
      <c r="I1540" s="834"/>
      <c r="J1540" s="834"/>
      <c r="K1540" s="835"/>
      <c r="L1540" s="835"/>
      <c r="M1540" s="835"/>
      <c r="N1540" s="835"/>
      <c r="O1540" s="835"/>
      <c r="P1540" s="835"/>
      <c r="Q1540" s="540"/>
      <c r="R1540" s="540"/>
      <c r="S1540" s="540"/>
      <c r="T1540" s="540"/>
      <c r="U1540" s="540"/>
      <c r="V1540" s="540"/>
      <c r="W1540" s="540"/>
      <c r="X1540" s="540"/>
      <c r="Y1540" s="540"/>
      <c r="Z1540" s="540"/>
    </row>
    <row r="1541" spans="1:26" ht="19">
      <c r="A1541" s="631"/>
      <c r="B1541" s="631"/>
      <c r="C1541" s="631"/>
      <c r="D1541" s="832"/>
      <c r="E1541" s="631"/>
      <c r="F1541" s="631"/>
      <c r="G1541" s="631"/>
      <c r="H1541" s="833"/>
      <c r="I1541" s="834"/>
      <c r="J1541" s="834"/>
      <c r="K1541" s="835"/>
      <c r="L1541" s="835"/>
      <c r="M1541" s="835"/>
      <c r="N1541" s="835"/>
      <c r="O1541" s="835"/>
      <c r="P1541" s="835"/>
      <c r="Q1541" s="540"/>
      <c r="R1541" s="540"/>
      <c r="S1541" s="540"/>
      <c r="T1541" s="540"/>
      <c r="U1541" s="540"/>
      <c r="V1541" s="540"/>
      <c r="W1541" s="540"/>
      <c r="X1541" s="540"/>
      <c r="Y1541" s="540"/>
      <c r="Z1541" s="540"/>
    </row>
    <row r="1542" spans="1:26" ht="19">
      <c r="A1542" s="631"/>
      <c r="B1542" s="631"/>
      <c r="C1542" s="631"/>
      <c r="D1542" s="832"/>
      <c r="E1542" s="631"/>
      <c r="F1542" s="631"/>
      <c r="G1542" s="631"/>
      <c r="H1542" s="833"/>
      <c r="I1542" s="834"/>
      <c r="J1542" s="834"/>
      <c r="K1542" s="835"/>
      <c r="L1542" s="835"/>
      <c r="M1542" s="835"/>
      <c r="N1542" s="835"/>
      <c r="O1542" s="835"/>
      <c r="P1542" s="835"/>
      <c r="Q1542" s="540"/>
      <c r="R1542" s="540"/>
      <c r="S1542" s="540"/>
      <c r="T1542" s="540"/>
      <c r="U1542" s="540"/>
      <c r="V1542" s="540"/>
      <c r="W1542" s="540"/>
      <c r="X1542" s="540"/>
      <c r="Y1542" s="540"/>
      <c r="Z1542" s="540"/>
    </row>
    <row r="1543" spans="1:26" ht="19">
      <c r="A1543" s="631"/>
      <c r="B1543" s="631"/>
      <c r="C1543" s="631"/>
      <c r="D1543" s="832"/>
      <c r="E1543" s="631"/>
      <c r="F1543" s="631"/>
      <c r="G1543" s="631"/>
      <c r="H1543" s="833"/>
      <c r="I1543" s="834"/>
      <c r="J1543" s="834"/>
      <c r="K1543" s="835"/>
      <c r="L1543" s="835"/>
      <c r="M1543" s="835"/>
      <c r="N1543" s="835"/>
      <c r="O1543" s="835"/>
      <c r="P1543" s="835"/>
      <c r="Q1543" s="540"/>
      <c r="R1543" s="540"/>
      <c r="S1543" s="540"/>
      <c r="T1543" s="540"/>
      <c r="U1543" s="540"/>
      <c r="V1543" s="540"/>
      <c r="W1543" s="540"/>
      <c r="X1543" s="540"/>
      <c r="Y1543" s="540"/>
      <c r="Z1543" s="540"/>
    </row>
    <row r="1544" spans="1:26" ht="19">
      <c r="A1544" s="631"/>
      <c r="B1544" s="631"/>
      <c r="C1544" s="631"/>
      <c r="D1544" s="832"/>
      <c r="E1544" s="631"/>
      <c r="F1544" s="631"/>
      <c r="G1544" s="631"/>
      <c r="H1544" s="833"/>
      <c r="I1544" s="834"/>
      <c r="J1544" s="834"/>
      <c r="K1544" s="835"/>
      <c r="L1544" s="835"/>
      <c r="M1544" s="835"/>
      <c r="N1544" s="835"/>
      <c r="O1544" s="835"/>
      <c r="P1544" s="835"/>
      <c r="Q1544" s="540"/>
      <c r="R1544" s="540"/>
      <c r="S1544" s="540"/>
      <c r="T1544" s="540"/>
      <c r="U1544" s="540"/>
      <c r="V1544" s="540"/>
      <c r="W1544" s="540"/>
      <c r="X1544" s="540"/>
      <c r="Y1544" s="540"/>
      <c r="Z1544" s="540"/>
    </row>
    <row r="1545" spans="1:26" ht="19">
      <c r="A1545" s="631"/>
      <c r="B1545" s="631"/>
      <c r="C1545" s="631"/>
      <c r="D1545" s="832"/>
      <c r="E1545" s="631"/>
      <c r="F1545" s="631"/>
      <c r="G1545" s="631"/>
      <c r="H1545" s="833"/>
      <c r="I1545" s="834"/>
      <c r="J1545" s="834"/>
      <c r="K1545" s="835"/>
      <c r="L1545" s="835"/>
      <c r="M1545" s="835"/>
      <c r="N1545" s="835"/>
      <c r="O1545" s="835"/>
      <c r="P1545" s="835"/>
      <c r="Q1545" s="540"/>
      <c r="R1545" s="540"/>
      <c r="S1545" s="540"/>
      <c r="T1545" s="540"/>
      <c r="U1545" s="540"/>
      <c r="V1545" s="540"/>
      <c r="W1545" s="540"/>
      <c r="X1545" s="540"/>
      <c r="Y1545" s="540"/>
      <c r="Z1545" s="540"/>
    </row>
    <row r="1546" spans="1:26" ht="19">
      <c r="A1546" s="631"/>
      <c r="B1546" s="631"/>
      <c r="C1546" s="631"/>
      <c r="D1546" s="832"/>
      <c r="E1546" s="631"/>
      <c r="F1546" s="631"/>
      <c r="G1546" s="631"/>
      <c r="H1546" s="833"/>
      <c r="I1546" s="834"/>
      <c r="J1546" s="834"/>
      <c r="K1546" s="835"/>
      <c r="L1546" s="835"/>
      <c r="M1546" s="835"/>
      <c r="N1546" s="835"/>
      <c r="O1546" s="835"/>
      <c r="P1546" s="835"/>
      <c r="Q1546" s="540"/>
      <c r="R1546" s="540"/>
      <c r="S1546" s="540"/>
      <c r="T1546" s="540"/>
      <c r="U1546" s="540"/>
      <c r="V1546" s="540"/>
      <c r="W1546" s="540"/>
      <c r="X1546" s="540"/>
      <c r="Y1546" s="540"/>
      <c r="Z1546" s="540"/>
    </row>
    <row r="1547" spans="1:26" ht="19">
      <c r="A1547" s="631"/>
      <c r="B1547" s="631"/>
      <c r="C1547" s="631"/>
      <c r="D1547" s="832"/>
      <c r="E1547" s="631"/>
      <c r="F1547" s="631"/>
      <c r="G1547" s="631"/>
      <c r="H1547" s="833"/>
      <c r="I1547" s="834"/>
      <c r="J1547" s="834"/>
      <c r="K1547" s="835"/>
      <c r="L1547" s="835"/>
      <c r="M1547" s="835"/>
      <c r="N1547" s="835"/>
      <c r="O1547" s="835"/>
      <c r="P1547" s="835"/>
      <c r="Q1547" s="540"/>
      <c r="R1547" s="540"/>
      <c r="S1547" s="540"/>
      <c r="T1547" s="540"/>
      <c r="U1547" s="540"/>
      <c r="V1547" s="540"/>
      <c r="W1547" s="540"/>
      <c r="X1547" s="540"/>
      <c r="Y1547" s="540"/>
      <c r="Z1547" s="540"/>
    </row>
    <row r="1548" spans="1:26" ht="19">
      <c r="A1548" s="631"/>
      <c r="B1548" s="631"/>
      <c r="C1548" s="631"/>
      <c r="D1548" s="832"/>
      <c r="E1548" s="631"/>
      <c r="F1548" s="631"/>
      <c r="G1548" s="631"/>
      <c r="H1548" s="833"/>
      <c r="I1548" s="834"/>
      <c r="J1548" s="834"/>
      <c r="K1548" s="835"/>
      <c r="L1548" s="835"/>
      <c r="M1548" s="835"/>
      <c r="N1548" s="835"/>
      <c r="O1548" s="835"/>
      <c r="P1548" s="835"/>
      <c r="Q1548" s="540"/>
      <c r="R1548" s="540"/>
      <c r="S1548" s="540"/>
      <c r="T1548" s="540"/>
      <c r="U1548" s="540"/>
      <c r="V1548" s="540"/>
      <c r="W1548" s="540"/>
      <c r="X1548" s="540"/>
      <c r="Y1548" s="540"/>
      <c r="Z1548" s="540"/>
    </row>
    <row r="1549" spans="1:26" ht="19">
      <c r="A1549" s="631"/>
      <c r="B1549" s="631"/>
      <c r="C1549" s="631"/>
      <c r="D1549" s="832"/>
      <c r="E1549" s="631"/>
      <c r="F1549" s="631"/>
      <c r="G1549" s="631"/>
      <c r="H1549" s="833"/>
      <c r="I1549" s="834"/>
      <c r="J1549" s="834"/>
      <c r="K1549" s="835"/>
      <c r="L1549" s="835"/>
      <c r="M1549" s="835"/>
      <c r="N1549" s="835"/>
      <c r="O1549" s="835"/>
      <c r="P1549" s="835"/>
      <c r="Q1549" s="540"/>
      <c r="R1549" s="540"/>
      <c r="S1549" s="540"/>
      <c r="T1549" s="540"/>
      <c r="U1549" s="540"/>
      <c r="V1549" s="540"/>
      <c r="W1549" s="540"/>
      <c r="X1549" s="540"/>
      <c r="Y1549" s="540"/>
      <c r="Z1549" s="540"/>
    </row>
    <row r="1550" spans="1:26" ht="19">
      <c r="A1550" s="631"/>
      <c r="B1550" s="631"/>
      <c r="C1550" s="631"/>
      <c r="D1550" s="832"/>
      <c r="E1550" s="631"/>
      <c r="F1550" s="631"/>
      <c r="G1550" s="631"/>
      <c r="H1550" s="833"/>
      <c r="I1550" s="834"/>
      <c r="J1550" s="834"/>
      <c r="K1550" s="835"/>
      <c r="L1550" s="835"/>
      <c r="M1550" s="835"/>
      <c r="N1550" s="835"/>
      <c r="O1550" s="835"/>
      <c r="P1550" s="835"/>
      <c r="Q1550" s="540"/>
      <c r="R1550" s="540"/>
      <c r="S1550" s="540"/>
      <c r="T1550" s="540"/>
      <c r="U1550" s="540"/>
      <c r="V1550" s="540"/>
      <c r="W1550" s="540"/>
      <c r="X1550" s="540"/>
      <c r="Y1550" s="540"/>
      <c r="Z1550" s="540"/>
    </row>
    <row r="1551" spans="1:26" ht="19">
      <c r="A1551" s="631"/>
      <c r="B1551" s="631"/>
      <c r="C1551" s="631"/>
      <c r="D1551" s="832"/>
      <c r="E1551" s="631"/>
      <c r="F1551" s="631"/>
      <c r="G1551" s="631"/>
      <c r="H1551" s="833"/>
      <c r="I1551" s="834"/>
      <c r="J1551" s="834"/>
      <c r="K1551" s="835"/>
      <c r="L1551" s="835"/>
      <c r="M1551" s="835"/>
      <c r="N1551" s="835"/>
      <c r="O1551" s="835"/>
      <c r="P1551" s="835"/>
      <c r="Q1551" s="540"/>
      <c r="R1551" s="540"/>
      <c r="S1551" s="540"/>
      <c r="T1551" s="540"/>
      <c r="U1551" s="540"/>
      <c r="V1551" s="540"/>
      <c r="W1551" s="540"/>
      <c r="X1551" s="540"/>
      <c r="Y1551" s="540"/>
      <c r="Z1551" s="540"/>
    </row>
    <row r="1552" spans="1:26" ht="19">
      <c r="A1552" s="631"/>
      <c r="B1552" s="631"/>
      <c r="C1552" s="631"/>
      <c r="D1552" s="832"/>
      <c r="E1552" s="631"/>
      <c r="F1552" s="631"/>
      <c r="G1552" s="631"/>
      <c r="H1552" s="833"/>
      <c r="I1552" s="834"/>
      <c r="J1552" s="834"/>
      <c r="K1552" s="835"/>
      <c r="L1552" s="835"/>
      <c r="M1552" s="835"/>
      <c r="N1552" s="835"/>
      <c r="O1552" s="835"/>
      <c r="P1552" s="835"/>
      <c r="Q1552" s="540"/>
      <c r="R1552" s="540"/>
      <c r="S1552" s="540"/>
      <c r="T1552" s="540"/>
      <c r="U1552" s="540"/>
      <c r="V1552" s="540"/>
      <c r="W1552" s="540"/>
      <c r="X1552" s="540"/>
      <c r="Y1552" s="540"/>
      <c r="Z1552" s="540"/>
    </row>
    <row r="1553" spans="1:26" ht="19">
      <c r="A1553" s="631"/>
      <c r="B1553" s="631"/>
      <c r="C1553" s="631"/>
      <c r="D1553" s="832"/>
      <c r="E1553" s="631"/>
      <c r="F1553" s="631"/>
      <c r="G1553" s="631"/>
      <c r="H1553" s="833"/>
      <c r="I1553" s="834"/>
      <c r="J1553" s="834"/>
      <c r="K1553" s="835"/>
      <c r="L1553" s="835"/>
      <c r="M1553" s="835"/>
      <c r="N1553" s="835"/>
      <c r="O1553" s="835"/>
      <c r="P1553" s="835"/>
      <c r="Q1553" s="540"/>
      <c r="R1553" s="540"/>
      <c r="S1553" s="540"/>
      <c r="T1553" s="540"/>
      <c r="U1553" s="540"/>
      <c r="V1553" s="540"/>
      <c r="W1553" s="540"/>
      <c r="X1553" s="540"/>
      <c r="Y1553" s="540"/>
      <c r="Z1553" s="540"/>
    </row>
    <row r="1554" spans="1:26" ht="19">
      <c r="A1554" s="631"/>
      <c r="B1554" s="631"/>
      <c r="C1554" s="631"/>
      <c r="D1554" s="832"/>
      <c r="E1554" s="631"/>
      <c r="F1554" s="631"/>
      <c r="G1554" s="631"/>
      <c r="H1554" s="833"/>
      <c r="I1554" s="834"/>
      <c r="J1554" s="834"/>
      <c r="K1554" s="835"/>
      <c r="L1554" s="835"/>
      <c r="M1554" s="835"/>
      <c r="N1554" s="835"/>
      <c r="O1554" s="835"/>
      <c r="P1554" s="835"/>
      <c r="Q1554" s="540"/>
      <c r="R1554" s="540"/>
      <c r="S1554" s="540"/>
      <c r="T1554" s="540"/>
      <c r="U1554" s="540"/>
      <c r="V1554" s="540"/>
      <c r="W1554" s="540"/>
      <c r="X1554" s="540"/>
      <c r="Y1554" s="540"/>
      <c r="Z1554" s="540"/>
    </row>
    <row r="1555" spans="1:26" ht="19">
      <c r="A1555" s="631"/>
      <c r="B1555" s="631"/>
      <c r="C1555" s="631"/>
      <c r="D1555" s="832"/>
      <c r="E1555" s="631"/>
      <c r="F1555" s="631"/>
      <c r="G1555" s="631"/>
      <c r="H1555" s="833"/>
      <c r="I1555" s="834"/>
      <c r="J1555" s="834"/>
      <c r="K1555" s="835"/>
      <c r="L1555" s="835"/>
      <c r="M1555" s="835"/>
      <c r="N1555" s="835"/>
      <c r="O1555" s="835"/>
      <c r="P1555" s="835"/>
      <c r="Q1555" s="540"/>
      <c r="R1555" s="540"/>
      <c r="S1555" s="540"/>
      <c r="T1555" s="540"/>
      <c r="U1555" s="540"/>
      <c r="V1555" s="540"/>
      <c r="W1555" s="540"/>
      <c r="X1555" s="540"/>
      <c r="Y1555" s="540"/>
      <c r="Z1555" s="540"/>
    </row>
    <row r="1556" spans="1:26" ht="19">
      <c r="A1556" s="631"/>
      <c r="B1556" s="631"/>
      <c r="C1556" s="631"/>
      <c r="D1556" s="832"/>
      <c r="E1556" s="631"/>
      <c r="F1556" s="631"/>
      <c r="G1556" s="631"/>
      <c r="H1556" s="833"/>
      <c r="I1556" s="834"/>
      <c r="J1556" s="834"/>
      <c r="K1556" s="835"/>
      <c r="L1556" s="835"/>
      <c r="M1556" s="835"/>
      <c r="N1556" s="835"/>
      <c r="O1556" s="835"/>
      <c r="P1556" s="835"/>
      <c r="Q1556" s="540"/>
      <c r="R1556" s="540"/>
      <c r="S1556" s="540"/>
      <c r="T1556" s="540"/>
      <c r="U1556" s="540"/>
      <c r="V1556" s="540"/>
      <c r="W1556" s="540"/>
      <c r="X1556" s="540"/>
      <c r="Y1556" s="540"/>
      <c r="Z1556" s="540"/>
    </row>
    <row r="1557" spans="1:26" ht="19">
      <c r="A1557" s="631"/>
      <c r="B1557" s="631"/>
      <c r="C1557" s="631"/>
      <c r="D1557" s="832"/>
      <c r="E1557" s="631"/>
      <c r="F1557" s="631"/>
      <c r="G1557" s="631"/>
      <c r="H1557" s="833"/>
      <c r="I1557" s="834"/>
      <c r="J1557" s="834"/>
      <c r="K1557" s="835"/>
      <c r="L1557" s="835"/>
      <c r="M1557" s="835"/>
      <c r="N1557" s="835"/>
      <c r="O1557" s="835"/>
      <c r="P1557" s="835"/>
      <c r="Q1557" s="540"/>
      <c r="R1557" s="540"/>
      <c r="S1557" s="540"/>
      <c r="T1557" s="540"/>
      <c r="U1557" s="540"/>
      <c r="V1557" s="540"/>
      <c r="W1557" s="540"/>
      <c r="X1557" s="540"/>
      <c r="Y1557" s="540"/>
      <c r="Z1557" s="540"/>
    </row>
    <row r="1558" spans="1:26" ht="19">
      <c r="A1558" s="631"/>
      <c r="B1558" s="631"/>
      <c r="C1558" s="631"/>
      <c r="D1558" s="832"/>
      <c r="E1558" s="631"/>
      <c r="F1558" s="631"/>
      <c r="G1558" s="631"/>
      <c r="H1558" s="833"/>
      <c r="I1558" s="834"/>
      <c r="J1558" s="834"/>
      <c r="K1558" s="835"/>
      <c r="L1558" s="835"/>
      <c r="M1558" s="835"/>
      <c r="N1558" s="835"/>
      <c r="O1558" s="835"/>
      <c r="P1558" s="835"/>
      <c r="Q1558" s="540"/>
      <c r="R1558" s="540"/>
      <c r="S1558" s="540"/>
      <c r="T1558" s="540"/>
      <c r="U1558" s="540"/>
      <c r="V1558" s="540"/>
      <c r="W1558" s="540"/>
      <c r="X1558" s="540"/>
      <c r="Y1558" s="540"/>
      <c r="Z1558" s="540"/>
    </row>
    <row r="1559" spans="1:26" ht="19">
      <c r="A1559" s="631"/>
      <c r="B1559" s="631"/>
      <c r="C1559" s="631"/>
      <c r="D1559" s="832"/>
      <c r="E1559" s="631"/>
      <c r="F1559" s="631"/>
      <c r="G1559" s="631"/>
      <c r="H1559" s="833"/>
      <c r="I1559" s="834"/>
      <c r="J1559" s="834"/>
      <c r="K1559" s="835"/>
      <c r="L1559" s="835"/>
      <c r="M1559" s="835"/>
      <c r="N1559" s="835"/>
      <c r="O1559" s="835"/>
      <c r="P1559" s="835"/>
      <c r="Q1559" s="540"/>
      <c r="R1559" s="540"/>
      <c r="S1559" s="540"/>
      <c r="T1559" s="540"/>
      <c r="U1559" s="540"/>
      <c r="V1559" s="540"/>
      <c r="W1559" s="540"/>
      <c r="X1559" s="540"/>
      <c r="Y1559" s="540"/>
      <c r="Z1559" s="540"/>
    </row>
    <row r="1560" spans="1:26" ht="19">
      <c r="A1560" s="631"/>
      <c r="B1560" s="631"/>
      <c r="C1560" s="631"/>
      <c r="D1560" s="832"/>
      <c r="E1560" s="631"/>
      <c r="F1560" s="631"/>
      <c r="G1560" s="631"/>
      <c r="H1560" s="833"/>
      <c r="I1560" s="834"/>
      <c r="J1560" s="834"/>
      <c r="K1560" s="835"/>
      <c r="L1560" s="835"/>
      <c r="M1560" s="835"/>
      <c r="N1560" s="835"/>
      <c r="O1560" s="835"/>
      <c r="P1560" s="835"/>
      <c r="Q1560" s="540"/>
      <c r="R1560" s="540"/>
      <c r="S1560" s="540"/>
      <c r="T1560" s="540"/>
      <c r="U1560" s="540"/>
      <c r="V1560" s="540"/>
      <c r="W1560" s="540"/>
      <c r="X1560" s="540"/>
      <c r="Y1560" s="540"/>
      <c r="Z1560" s="540"/>
    </row>
    <row r="1561" spans="1:26" ht="19">
      <c r="A1561" s="631"/>
      <c r="B1561" s="631"/>
      <c r="C1561" s="631"/>
      <c r="D1561" s="832"/>
      <c r="E1561" s="631"/>
      <c r="F1561" s="631"/>
      <c r="G1561" s="631"/>
      <c r="H1561" s="833"/>
      <c r="I1561" s="834"/>
      <c r="J1561" s="834"/>
      <c r="K1561" s="835"/>
      <c r="L1561" s="835"/>
      <c r="M1561" s="835"/>
      <c r="N1561" s="835"/>
      <c r="O1561" s="835"/>
      <c r="P1561" s="835"/>
      <c r="Q1561" s="540"/>
      <c r="R1561" s="540"/>
      <c r="S1561" s="540"/>
      <c r="T1561" s="540"/>
      <c r="U1561" s="540"/>
      <c r="V1561" s="540"/>
      <c r="W1561" s="540"/>
      <c r="X1561" s="540"/>
      <c r="Y1561" s="540"/>
      <c r="Z1561" s="540"/>
    </row>
    <row r="1562" spans="1:26" ht="19">
      <c r="A1562" s="631"/>
      <c r="B1562" s="631"/>
      <c r="C1562" s="631"/>
      <c r="D1562" s="832"/>
      <c r="E1562" s="631"/>
      <c r="F1562" s="631"/>
      <c r="G1562" s="631"/>
      <c r="H1562" s="833"/>
      <c r="I1562" s="834"/>
      <c r="J1562" s="834"/>
      <c r="K1562" s="835"/>
      <c r="L1562" s="835"/>
      <c r="M1562" s="835"/>
      <c r="N1562" s="835"/>
      <c r="O1562" s="835"/>
      <c r="P1562" s="835"/>
      <c r="Q1562" s="540"/>
      <c r="R1562" s="540"/>
      <c r="S1562" s="540"/>
      <c r="T1562" s="540"/>
      <c r="U1562" s="540"/>
      <c r="V1562" s="540"/>
      <c r="W1562" s="540"/>
      <c r="X1562" s="540"/>
      <c r="Y1562" s="540"/>
      <c r="Z1562" s="540"/>
    </row>
    <row r="1563" spans="1:26" ht="19">
      <c r="A1563" s="631"/>
      <c r="B1563" s="631"/>
      <c r="C1563" s="631"/>
      <c r="D1563" s="832"/>
      <c r="E1563" s="631"/>
      <c r="F1563" s="631"/>
      <c r="G1563" s="631"/>
      <c r="H1563" s="833"/>
      <c r="I1563" s="834"/>
      <c r="J1563" s="834"/>
      <c r="K1563" s="835"/>
      <c r="L1563" s="835"/>
      <c r="M1563" s="835"/>
      <c r="N1563" s="835"/>
      <c r="O1563" s="835"/>
      <c r="P1563" s="835"/>
      <c r="Q1563" s="540"/>
      <c r="R1563" s="540"/>
      <c r="S1563" s="540"/>
      <c r="T1563" s="540"/>
      <c r="U1563" s="540"/>
      <c r="V1563" s="540"/>
      <c r="W1563" s="540"/>
      <c r="X1563" s="540"/>
      <c r="Y1563" s="540"/>
      <c r="Z1563" s="540"/>
    </row>
    <row r="1564" spans="1:26" ht="19">
      <c r="A1564" s="631"/>
      <c r="B1564" s="631"/>
      <c r="C1564" s="631"/>
      <c r="D1564" s="832"/>
      <c r="E1564" s="631"/>
      <c r="F1564" s="631"/>
      <c r="G1564" s="631"/>
      <c r="H1564" s="833"/>
      <c r="I1564" s="834"/>
      <c r="J1564" s="834"/>
      <c r="K1564" s="835"/>
      <c r="L1564" s="835"/>
      <c r="M1564" s="835"/>
      <c r="N1564" s="835"/>
      <c r="O1564" s="835"/>
      <c r="P1564" s="835"/>
      <c r="Q1564" s="540"/>
      <c r="R1564" s="540"/>
      <c r="S1564" s="540"/>
      <c r="T1564" s="540"/>
      <c r="U1564" s="540"/>
      <c r="V1564" s="540"/>
      <c r="W1564" s="540"/>
      <c r="X1564" s="540"/>
      <c r="Y1564" s="540"/>
      <c r="Z1564" s="540"/>
    </row>
    <row r="1565" spans="1:26" ht="19">
      <c r="A1565" s="631"/>
      <c r="B1565" s="631"/>
      <c r="C1565" s="631"/>
      <c r="D1565" s="832"/>
      <c r="E1565" s="631"/>
      <c r="F1565" s="631"/>
      <c r="G1565" s="631"/>
      <c r="H1565" s="833"/>
      <c r="I1565" s="834"/>
      <c r="J1565" s="834"/>
      <c r="K1565" s="835"/>
      <c r="L1565" s="835"/>
      <c r="M1565" s="835"/>
      <c r="N1565" s="835"/>
      <c r="O1565" s="835"/>
      <c r="P1565" s="835"/>
      <c r="Q1565" s="540"/>
      <c r="R1565" s="540"/>
      <c r="S1565" s="540"/>
      <c r="T1565" s="540"/>
      <c r="U1565" s="540"/>
      <c r="V1565" s="540"/>
      <c r="W1565" s="540"/>
      <c r="X1565" s="540"/>
      <c r="Y1565" s="540"/>
      <c r="Z1565" s="540"/>
    </row>
    <row r="1566" spans="1:26" ht="19">
      <c r="A1566" s="631"/>
      <c r="B1566" s="631"/>
      <c r="C1566" s="631"/>
      <c r="D1566" s="832"/>
      <c r="E1566" s="631"/>
      <c r="F1566" s="631"/>
      <c r="G1566" s="631"/>
      <c r="H1566" s="833"/>
      <c r="I1566" s="834"/>
      <c r="J1566" s="834"/>
      <c r="K1566" s="835"/>
      <c r="L1566" s="835"/>
      <c r="M1566" s="835"/>
      <c r="N1566" s="835"/>
      <c r="O1566" s="835"/>
      <c r="P1566" s="835"/>
      <c r="Q1566" s="540"/>
      <c r="R1566" s="540"/>
      <c r="S1566" s="540"/>
      <c r="T1566" s="540"/>
      <c r="U1566" s="540"/>
      <c r="V1566" s="540"/>
      <c r="W1566" s="540"/>
      <c r="X1566" s="540"/>
      <c r="Y1566" s="540"/>
      <c r="Z1566" s="540"/>
    </row>
    <row r="1567" spans="1:26" ht="19">
      <c r="A1567" s="631"/>
      <c r="B1567" s="631"/>
      <c r="C1567" s="631"/>
      <c r="D1567" s="832"/>
      <c r="E1567" s="631"/>
      <c r="F1567" s="631"/>
      <c r="G1567" s="631"/>
      <c r="H1567" s="833"/>
      <c r="I1567" s="834"/>
      <c r="J1567" s="834"/>
      <c r="K1567" s="835"/>
      <c r="L1567" s="835"/>
      <c r="M1567" s="835"/>
      <c r="N1567" s="835"/>
      <c r="O1567" s="835"/>
      <c r="P1567" s="835"/>
      <c r="Q1567" s="540"/>
      <c r="R1567" s="540"/>
      <c r="S1567" s="540"/>
      <c r="T1567" s="540"/>
      <c r="U1567" s="540"/>
      <c r="V1567" s="540"/>
      <c r="W1567" s="540"/>
      <c r="X1567" s="540"/>
      <c r="Y1567" s="540"/>
      <c r="Z1567" s="540"/>
    </row>
    <row r="1568" spans="1:26" ht="19">
      <c r="A1568" s="631"/>
      <c r="B1568" s="631"/>
      <c r="C1568" s="631"/>
      <c r="D1568" s="832"/>
      <c r="E1568" s="631"/>
      <c r="F1568" s="631"/>
      <c r="G1568" s="631"/>
      <c r="H1568" s="833"/>
      <c r="I1568" s="834"/>
      <c r="J1568" s="834"/>
      <c r="K1568" s="835"/>
      <c r="L1568" s="835"/>
      <c r="M1568" s="835"/>
      <c r="N1568" s="835"/>
      <c r="O1568" s="835"/>
      <c r="P1568" s="835"/>
      <c r="Q1568" s="540"/>
      <c r="R1568" s="540"/>
      <c r="S1568" s="540"/>
      <c r="T1568" s="540"/>
      <c r="U1568" s="540"/>
      <c r="V1568" s="540"/>
      <c r="W1568" s="540"/>
      <c r="X1568" s="540"/>
      <c r="Y1568" s="540"/>
      <c r="Z1568" s="540"/>
    </row>
    <row r="1569" spans="1:26" ht="19">
      <c r="A1569" s="631"/>
      <c r="B1569" s="631"/>
      <c r="C1569" s="631"/>
      <c r="D1569" s="832"/>
      <c r="E1569" s="631"/>
      <c r="F1569" s="631"/>
      <c r="G1569" s="631"/>
      <c r="H1569" s="833"/>
      <c r="I1569" s="834"/>
      <c r="J1569" s="834"/>
      <c r="K1569" s="835"/>
      <c r="L1569" s="835"/>
      <c r="M1569" s="835"/>
      <c r="N1569" s="835"/>
      <c r="O1569" s="835"/>
      <c r="P1569" s="835"/>
      <c r="Q1569" s="540"/>
      <c r="R1569" s="540"/>
      <c r="S1569" s="540"/>
      <c r="T1569" s="540"/>
      <c r="U1569" s="540"/>
      <c r="V1569" s="540"/>
      <c r="W1569" s="540"/>
      <c r="X1569" s="540"/>
      <c r="Y1569" s="540"/>
      <c r="Z1569" s="540"/>
    </row>
    <row r="1570" spans="1:26" ht="19">
      <c r="A1570" s="631"/>
      <c r="B1570" s="631"/>
      <c r="C1570" s="631"/>
      <c r="D1570" s="832"/>
      <c r="E1570" s="631"/>
      <c r="F1570" s="631"/>
      <c r="G1570" s="631"/>
      <c r="H1570" s="833"/>
      <c r="I1570" s="834"/>
      <c r="J1570" s="834"/>
      <c r="K1570" s="835"/>
      <c r="L1570" s="835"/>
      <c r="M1570" s="835"/>
      <c r="N1570" s="835"/>
      <c r="O1570" s="835"/>
      <c r="P1570" s="835"/>
      <c r="Q1570" s="540"/>
      <c r="R1570" s="540"/>
      <c r="S1570" s="540"/>
      <c r="T1570" s="540"/>
      <c r="U1570" s="540"/>
      <c r="V1570" s="540"/>
      <c r="W1570" s="540"/>
      <c r="X1570" s="540"/>
      <c r="Y1570" s="540"/>
      <c r="Z1570" s="540"/>
    </row>
    <row r="1571" spans="1:26" ht="19">
      <c r="A1571" s="631"/>
      <c r="B1571" s="631"/>
      <c r="C1571" s="631"/>
      <c r="D1571" s="832"/>
      <c r="E1571" s="631"/>
      <c r="F1571" s="631"/>
      <c r="G1571" s="631"/>
      <c r="H1571" s="833"/>
      <c r="I1571" s="834"/>
      <c r="J1571" s="834"/>
      <c r="K1571" s="835"/>
      <c r="L1571" s="835"/>
      <c r="M1571" s="835"/>
      <c r="N1571" s="835"/>
      <c r="O1571" s="835"/>
      <c r="P1571" s="835"/>
      <c r="Q1571" s="540"/>
      <c r="R1571" s="540"/>
      <c r="S1571" s="540"/>
      <c r="T1571" s="540"/>
      <c r="U1571" s="540"/>
      <c r="V1571" s="540"/>
      <c r="W1571" s="540"/>
      <c r="X1571" s="540"/>
      <c r="Y1571" s="540"/>
      <c r="Z1571" s="540"/>
    </row>
    <row r="1572" spans="1:26" ht="19">
      <c r="A1572" s="631"/>
      <c r="B1572" s="631"/>
      <c r="C1572" s="631"/>
      <c r="D1572" s="832"/>
      <c r="E1572" s="631"/>
      <c r="F1572" s="631"/>
      <c r="G1572" s="631"/>
      <c r="H1572" s="833"/>
      <c r="I1572" s="834"/>
      <c r="J1572" s="834"/>
      <c r="K1572" s="835"/>
      <c r="L1572" s="835"/>
      <c r="M1572" s="835"/>
      <c r="N1572" s="835"/>
      <c r="O1572" s="835"/>
      <c r="P1572" s="835"/>
      <c r="Q1572" s="540"/>
      <c r="R1572" s="540"/>
      <c r="S1572" s="540"/>
      <c r="T1572" s="540"/>
      <c r="U1572" s="540"/>
      <c r="V1572" s="540"/>
      <c r="W1572" s="540"/>
      <c r="X1572" s="540"/>
      <c r="Y1572" s="540"/>
      <c r="Z1572" s="540"/>
    </row>
    <row r="1573" spans="1:26" ht="19">
      <c r="A1573" s="631"/>
      <c r="B1573" s="631"/>
      <c r="C1573" s="631"/>
      <c r="D1573" s="832"/>
      <c r="E1573" s="631"/>
      <c r="F1573" s="631"/>
      <c r="G1573" s="631"/>
      <c r="H1573" s="833"/>
      <c r="I1573" s="834"/>
      <c r="J1573" s="834"/>
      <c r="K1573" s="835"/>
      <c r="L1573" s="835"/>
      <c r="M1573" s="835"/>
      <c r="N1573" s="835"/>
      <c r="O1573" s="835"/>
      <c r="P1573" s="835"/>
      <c r="Q1573" s="540"/>
      <c r="R1573" s="540"/>
      <c r="S1573" s="540"/>
      <c r="T1573" s="540"/>
      <c r="U1573" s="540"/>
      <c r="V1573" s="540"/>
      <c r="W1573" s="540"/>
      <c r="X1573" s="540"/>
      <c r="Y1573" s="540"/>
      <c r="Z1573" s="540"/>
    </row>
    <row r="1574" spans="1:26" ht="19">
      <c r="A1574" s="631"/>
      <c r="B1574" s="631"/>
      <c r="C1574" s="631"/>
      <c r="D1574" s="832"/>
      <c r="E1574" s="631"/>
      <c r="F1574" s="631"/>
      <c r="G1574" s="631"/>
      <c r="H1574" s="833"/>
      <c r="I1574" s="834"/>
      <c r="J1574" s="834"/>
      <c r="K1574" s="835"/>
      <c r="L1574" s="835"/>
      <c r="M1574" s="835"/>
      <c r="N1574" s="835"/>
      <c r="O1574" s="835"/>
      <c r="P1574" s="835"/>
      <c r="Q1574" s="540"/>
      <c r="R1574" s="540"/>
      <c r="S1574" s="540"/>
      <c r="T1574" s="540"/>
      <c r="U1574" s="540"/>
      <c r="V1574" s="540"/>
      <c r="W1574" s="540"/>
      <c r="X1574" s="540"/>
      <c r="Y1574" s="540"/>
      <c r="Z1574" s="540"/>
    </row>
    <row r="1575" spans="1:26" ht="19">
      <c r="A1575" s="631"/>
      <c r="B1575" s="631"/>
      <c r="C1575" s="631"/>
      <c r="D1575" s="832"/>
      <c r="E1575" s="631"/>
      <c r="F1575" s="631"/>
      <c r="G1575" s="631"/>
      <c r="H1575" s="833"/>
      <c r="I1575" s="834"/>
      <c r="J1575" s="834"/>
      <c r="K1575" s="835"/>
      <c r="L1575" s="835"/>
      <c r="M1575" s="835"/>
      <c r="N1575" s="835"/>
      <c r="O1575" s="835"/>
      <c r="P1575" s="835"/>
      <c r="Q1575" s="540"/>
      <c r="R1575" s="540"/>
      <c r="S1575" s="540"/>
      <c r="T1575" s="540"/>
      <c r="U1575" s="540"/>
      <c r="V1575" s="540"/>
      <c r="W1575" s="540"/>
      <c r="X1575" s="540"/>
      <c r="Y1575" s="540"/>
      <c r="Z1575" s="540"/>
    </row>
    <row r="1576" spans="1:26" ht="19">
      <c r="A1576" s="631"/>
      <c r="B1576" s="631"/>
      <c r="C1576" s="631"/>
      <c r="D1576" s="832"/>
      <c r="E1576" s="631"/>
      <c r="F1576" s="631"/>
      <c r="G1576" s="631"/>
      <c r="H1576" s="833"/>
      <c r="I1576" s="834"/>
      <c r="J1576" s="834"/>
      <c r="K1576" s="835"/>
      <c r="L1576" s="835"/>
      <c r="M1576" s="835"/>
      <c r="N1576" s="835"/>
      <c r="O1576" s="835"/>
      <c r="P1576" s="835"/>
      <c r="Q1576" s="540"/>
      <c r="R1576" s="540"/>
      <c r="S1576" s="540"/>
      <c r="T1576" s="540"/>
      <c r="U1576" s="540"/>
      <c r="V1576" s="540"/>
      <c r="W1576" s="540"/>
      <c r="X1576" s="540"/>
      <c r="Y1576" s="540"/>
      <c r="Z1576" s="540"/>
    </row>
    <row r="1577" spans="1:26" ht="19">
      <c r="A1577" s="631"/>
      <c r="B1577" s="631"/>
      <c r="C1577" s="631"/>
      <c r="D1577" s="832"/>
      <c r="E1577" s="631"/>
      <c r="F1577" s="631"/>
      <c r="G1577" s="631"/>
      <c r="H1577" s="833"/>
      <c r="I1577" s="834"/>
      <c r="J1577" s="834"/>
      <c r="K1577" s="835"/>
      <c r="L1577" s="835"/>
      <c r="M1577" s="835"/>
      <c r="N1577" s="835"/>
      <c r="O1577" s="835"/>
      <c r="P1577" s="835"/>
      <c r="Q1577" s="540"/>
      <c r="R1577" s="540"/>
      <c r="S1577" s="540"/>
      <c r="T1577" s="540"/>
      <c r="U1577" s="540"/>
      <c r="V1577" s="540"/>
      <c r="W1577" s="540"/>
      <c r="X1577" s="540"/>
      <c r="Y1577" s="540"/>
      <c r="Z1577" s="540"/>
    </row>
    <row r="1578" spans="1:26" ht="19">
      <c r="A1578" s="631"/>
      <c r="B1578" s="631"/>
      <c r="C1578" s="631"/>
      <c r="D1578" s="832"/>
      <c r="E1578" s="631"/>
      <c r="F1578" s="631"/>
      <c r="G1578" s="631"/>
      <c r="H1578" s="833"/>
      <c r="I1578" s="834"/>
      <c r="J1578" s="834"/>
      <c r="K1578" s="835"/>
      <c r="L1578" s="835"/>
      <c r="M1578" s="835"/>
      <c r="N1578" s="835"/>
      <c r="O1578" s="835"/>
      <c r="P1578" s="835"/>
      <c r="Q1578" s="540"/>
      <c r="R1578" s="540"/>
      <c r="S1578" s="540"/>
      <c r="T1578" s="540"/>
      <c r="U1578" s="540"/>
      <c r="V1578" s="540"/>
      <c r="W1578" s="540"/>
      <c r="X1578" s="540"/>
      <c r="Y1578" s="540"/>
      <c r="Z1578" s="540"/>
    </row>
    <row r="1579" spans="1:26" ht="19">
      <c r="A1579" s="631"/>
      <c r="B1579" s="631"/>
      <c r="C1579" s="631"/>
      <c r="D1579" s="832"/>
      <c r="E1579" s="631"/>
      <c r="F1579" s="631"/>
      <c r="G1579" s="631"/>
      <c r="H1579" s="833"/>
      <c r="I1579" s="834"/>
      <c r="J1579" s="834"/>
      <c r="K1579" s="835"/>
      <c r="L1579" s="835"/>
      <c r="M1579" s="835"/>
      <c r="N1579" s="835"/>
      <c r="O1579" s="835"/>
      <c r="P1579" s="835"/>
      <c r="Q1579" s="540"/>
      <c r="R1579" s="540"/>
      <c r="S1579" s="540"/>
      <c r="T1579" s="540"/>
      <c r="U1579" s="540"/>
      <c r="V1579" s="540"/>
      <c r="W1579" s="540"/>
      <c r="X1579" s="540"/>
      <c r="Y1579" s="540"/>
      <c r="Z1579" s="540"/>
    </row>
    <row r="1580" spans="1:26" ht="19">
      <c r="A1580" s="631"/>
      <c r="B1580" s="631"/>
      <c r="C1580" s="631"/>
      <c r="D1580" s="832"/>
      <c r="E1580" s="631"/>
      <c r="F1580" s="631"/>
      <c r="G1580" s="631"/>
      <c r="H1580" s="833"/>
      <c r="I1580" s="834"/>
      <c r="J1580" s="834"/>
      <c r="K1580" s="835"/>
      <c r="L1580" s="835"/>
      <c r="M1580" s="835"/>
      <c r="N1580" s="835"/>
      <c r="O1580" s="835"/>
      <c r="P1580" s="835"/>
      <c r="Q1580" s="540"/>
      <c r="R1580" s="540"/>
      <c r="S1580" s="540"/>
      <c r="T1580" s="540"/>
      <c r="U1580" s="540"/>
      <c r="V1580" s="540"/>
      <c r="W1580" s="540"/>
      <c r="X1580" s="540"/>
      <c r="Y1580" s="540"/>
      <c r="Z1580" s="540"/>
    </row>
    <row r="1581" spans="1:26" ht="19">
      <c r="A1581" s="631"/>
      <c r="B1581" s="631"/>
      <c r="C1581" s="631"/>
      <c r="D1581" s="832"/>
      <c r="E1581" s="631"/>
      <c r="F1581" s="631"/>
      <c r="G1581" s="631"/>
      <c r="H1581" s="833"/>
      <c r="I1581" s="834"/>
      <c r="J1581" s="834"/>
      <c r="K1581" s="835"/>
      <c r="L1581" s="835"/>
      <c r="M1581" s="835"/>
      <c r="N1581" s="835"/>
      <c r="O1581" s="835"/>
      <c r="P1581" s="835"/>
      <c r="Q1581" s="540"/>
      <c r="R1581" s="540"/>
      <c r="S1581" s="540"/>
      <c r="T1581" s="540"/>
      <c r="U1581" s="540"/>
      <c r="V1581" s="540"/>
      <c r="W1581" s="540"/>
      <c r="X1581" s="540"/>
      <c r="Y1581" s="540"/>
      <c r="Z1581" s="540"/>
    </row>
    <row r="1582" spans="1:26" ht="19">
      <c r="A1582" s="631"/>
      <c r="B1582" s="631"/>
      <c r="C1582" s="631"/>
      <c r="D1582" s="832"/>
      <c r="E1582" s="631"/>
      <c r="F1582" s="631"/>
      <c r="G1582" s="631"/>
      <c r="H1582" s="833"/>
      <c r="I1582" s="834"/>
      <c r="J1582" s="834"/>
      <c r="K1582" s="835"/>
      <c r="L1582" s="835"/>
      <c r="M1582" s="835"/>
      <c r="N1582" s="835"/>
      <c r="O1582" s="835"/>
      <c r="P1582" s="835"/>
      <c r="Q1582" s="540"/>
      <c r="R1582" s="540"/>
      <c r="S1582" s="540"/>
      <c r="T1582" s="540"/>
      <c r="U1582" s="540"/>
      <c r="V1582" s="540"/>
      <c r="W1582" s="540"/>
      <c r="X1582" s="540"/>
      <c r="Y1582" s="540"/>
      <c r="Z1582" s="540"/>
    </row>
    <row r="1583" spans="1:26" ht="19">
      <c r="A1583" s="631"/>
      <c r="B1583" s="631"/>
      <c r="C1583" s="631"/>
      <c r="D1583" s="832"/>
      <c r="E1583" s="631"/>
      <c r="F1583" s="631"/>
      <c r="G1583" s="631"/>
      <c r="H1583" s="833"/>
      <c r="I1583" s="834"/>
      <c r="J1583" s="834"/>
      <c r="K1583" s="835"/>
      <c r="L1583" s="835"/>
      <c r="M1583" s="835"/>
      <c r="N1583" s="835"/>
      <c r="O1583" s="835"/>
      <c r="P1583" s="835"/>
      <c r="Q1583" s="540"/>
      <c r="R1583" s="540"/>
      <c r="S1583" s="540"/>
      <c r="T1583" s="540"/>
      <c r="U1583" s="540"/>
      <c r="V1583" s="540"/>
      <c r="W1583" s="540"/>
      <c r="X1583" s="540"/>
      <c r="Y1583" s="540"/>
      <c r="Z1583" s="540"/>
    </row>
    <row r="1584" spans="1:26" ht="19">
      <c r="A1584" s="631"/>
      <c r="B1584" s="631"/>
      <c r="C1584" s="631"/>
      <c r="D1584" s="832"/>
      <c r="E1584" s="631"/>
      <c r="F1584" s="631"/>
      <c r="G1584" s="631"/>
      <c r="H1584" s="833"/>
      <c r="I1584" s="834"/>
      <c r="J1584" s="834"/>
      <c r="K1584" s="835"/>
      <c r="L1584" s="835"/>
      <c r="M1584" s="835"/>
      <c r="N1584" s="835"/>
      <c r="O1584" s="835"/>
      <c r="P1584" s="835"/>
      <c r="Q1584" s="540"/>
      <c r="R1584" s="540"/>
      <c r="S1584" s="540"/>
      <c r="T1584" s="540"/>
      <c r="U1584" s="540"/>
      <c r="V1584" s="540"/>
      <c r="W1584" s="540"/>
      <c r="X1584" s="540"/>
      <c r="Y1584" s="540"/>
      <c r="Z1584" s="540"/>
    </row>
    <row r="1585" spans="1:26" ht="19">
      <c r="A1585" s="631"/>
      <c r="B1585" s="631"/>
      <c r="C1585" s="631"/>
      <c r="D1585" s="832"/>
      <c r="E1585" s="631"/>
      <c r="F1585" s="631"/>
      <c r="G1585" s="631"/>
      <c r="H1585" s="833"/>
      <c r="I1585" s="834"/>
      <c r="J1585" s="834"/>
      <c r="K1585" s="835"/>
      <c r="L1585" s="835"/>
      <c r="M1585" s="835"/>
      <c r="N1585" s="835"/>
      <c r="O1585" s="835"/>
      <c r="P1585" s="835"/>
      <c r="Q1585" s="540"/>
      <c r="R1585" s="540"/>
      <c r="S1585" s="540"/>
      <c r="T1585" s="540"/>
      <c r="U1585" s="540"/>
      <c r="V1585" s="540"/>
      <c r="W1585" s="540"/>
      <c r="X1585" s="540"/>
      <c r="Y1585" s="540"/>
      <c r="Z1585" s="540"/>
    </row>
    <row r="1586" spans="1:26" ht="19">
      <c r="A1586" s="631"/>
      <c r="B1586" s="631"/>
      <c r="C1586" s="631"/>
      <c r="D1586" s="832"/>
      <c r="E1586" s="631"/>
      <c r="F1586" s="631"/>
      <c r="G1586" s="631"/>
      <c r="H1586" s="833"/>
      <c r="I1586" s="834"/>
      <c r="J1586" s="834"/>
      <c r="K1586" s="835"/>
      <c r="L1586" s="835"/>
      <c r="M1586" s="835"/>
      <c r="N1586" s="835"/>
      <c r="O1586" s="835"/>
      <c r="P1586" s="835"/>
      <c r="Q1586" s="540"/>
      <c r="R1586" s="540"/>
      <c r="S1586" s="540"/>
      <c r="T1586" s="540"/>
      <c r="U1586" s="540"/>
      <c r="V1586" s="540"/>
      <c r="W1586" s="540"/>
      <c r="X1586" s="540"/>
      <c r="Y1586" s="540"/>
      <c r="Z1586" s="540"/>
    </row>
    <row r="1587" spans="1:26" ht="19">
      <c r="A1587" s="631"/>
      <c r="B1587" s="631"/>
      <c r="C1587" s="631"/>
      <c r="D1587" s="832"/>
      <c r="E1587" s="631"/>
      <c r="F1587" s="631"/>
      <c r="G1587" s="631"/>
      <c r="H1587" s="833"/>
      <c r="I1587" s="834"/>
      <c r="J1587" s="834"/>
      <c r="K1587" s="835"/>
      <c r="L1587" s="835"/>
      <c r="M1587" s="835"/>
      <c r="N1587" s="835"/>
      <c r="O1587" s="835"/>
      <c r="P1587" s="835"/>
      <c r="Q1587" s="540"/>
      <c r="R1587" s="540"/>
      <c r="S1587" s="540"/>
      <c r="T1587" s="540"/>
      <c r="U1587" s="540"/>
      <c r="V1587" s="540"/>
      <c r="W1587" s="540"/>
      <c r="X1587" s="540"/>
      <c r="Y1587" s="540"/>
      <c r="Z1587" s="540"/>
    </row>
    <row r="1588" spans="1:26" ht="19">
      <c r="A1588" s="631"/>
      <c r="B1588" s="631"/>
      <c r="C1588" s="631"/>
      <c r="D1588" s="832"/>
      <c r="E1588" s="631"/>
      <c r="F1588" s="631"/>
      <c r="G1588" s="631"/>
      <c r="H1588" s="833"/>
      <c r="I1588" s="834"/>
      <c r="J1588" s="834"/>
      <c r="K1588" s="835"/>
      <c r="L1588" s="835"/>
      <c r="M1588" s="835"/>
      <c r="N1588" s="835"/>
      <c r="O1588" s="835"/>
      <c r="P1588" s="835"/>
      <c r="Q1588" s="540"/>
      <c r="R1588" s="540"/>
      <c r="S1588" s="540"/>
      <c r="T1588" s="540"/>
      <c r="U1588" s="540"/>
      <c r="V1588" s="540"/>
      <c r="W1588" s="540"/>
      <c r="X1588" s="540"/>
      <c r="Y1588" s="540"/>
      <c r="Z1588" s="540"/>
    </row>
    <row r="1589" spans="1:26" ht="19">
      <c r="A1589" s="631"/>
      <c r="B1589" s="631"/>
      <c r="C1589" s="631"/>
      <c r="D1589" s="832"/>
      <c r="E1589" s="631"/>
      <c r="F1589" s="631"/>
      <c r="G1589" s="631"/>
      <c r="H1589" s="833"/>
      <c r="I1589" s="834"/>
      <c r="J1589" s="834"/>
      <c r="K1589" s="835"/>
      <c r="L1589" s="835"/>
      <c r="M1589" s="835"/>
      <c r="N1589" s="835"/>
      <c r="O1589" s="835"/>
      <c r="P1589" s="835"/>
      <c r="Q1589" s="540"/>
      <c r="R1589" s="540"/>
      <c r="S1589" s="540"/>
      <c r="T1589" s="540"/>
      <c r="U1589" s="540"/>
      <c r="V1589" s="540"/>
      <c r="W1589" s="540"/>
      <c r="X1589" s="540"/>
      <c r="Y1589" s="540"/>
      <c r="Z1589" s="540"/>
    </row>
    <row r="1590" spans="1:26" ht="19">
      <c r="A1590" s="631"/>
      <c r="B1590" s="631"/>
      <c r="C1590" s="631"/>
      <c r="D1590" s="832"/>
      <c r="E1590" s="631"/>
      <c r="F1590" s="631"/>
      <c r="G1590" s="631"/>
      <c r="H1590" s="833"/>
      <c r="I1590" s="834"/>
      <c r="J1590" s="834"/>
      <c r="K1590" s="835"/>
      <c r="L1590" s="835"/>
      <c r="M1590" s="835"/>
      <c r="N1590" s="835"/>
      <c r="O1590" s="835"/>
      <c r="P1590" s="835"/>
      <c r="Q1590" s="540"/>
      <c r="R1590" s="540"/>
      <c r="S1590" s="540"/>
      <c r="T1590" s="540"/>
      <c r="U1590" s="540"/>
      <c r="V1590" s="540"/>
      <c r="W1590" s="540"/>
      <c r="X1590" s="540"/>
      <c r="Y1590" s="540"/>
      <c r="Z1590" s="540"/>
    </row>
    <row r="1591" spans="1:26" ht="19">
      <c r="A1591" s="631"/>
      <c r="B1591" s="631"/>
      <c r="C1591" s="631"/>
      <c r="D1591" s="832"/>
      <c r="E1591" s="631"/>
      <c r="F1591" s="631"/>
      <c r="G1591" s="631"/>
      <c r="H1591" s="833"/>
      <c r="I1591" s="834"/>
      <c r="J1591" s="834"/>
      <c r="K1591" s="835"/>
      <c r="L1591" s="835"/>
      <c r="M1591" s="835"/>
      <c r="N1591" s="835"/>
      <c r="O1591" s="835"/>
      <c r="P1591" s="835"/>
      <c r="Q1591" s="540"/>
      <c r="R1591" s="540"/>
      <c r="S1591" s="540"/>
      <c r="T1591" s="540"/>
      <c r="U1591" s="540"/>
      <c r="V1591" s="540"/>
      <c r="W1591" s="540"/>
      <c r="X1591" s="540"/>
      <c r="Y1591" s="540"/>
      <c r="Z1591" s="540"/>
    </row>
    <row r="1592" spans="1:26" ht="19">
      <c r="A1592" s="631"/>
      <c r="B1592" s="631"/>
      <c r="C1592" s="631"/>
      <c r="D1592" s="832"/>
      <c r="E1592" s="631"/>
      <c r="F1592" s="631"/>
      <c r="G1592" s="631"/>
      <c r="H1592" s="833"/>
      <c r="I1592" s="834"/>
      <c r="J1592" s="834"/>
      <c r="K1592" s="835"/>
      <c r="L1592" s="835"/>
      <c r="M1592" s="835"/>
      <c r="N1592" s="835"/>
      <c r="O1592" s="835"/>
      <c r="P1592" s="835"/>
      <c r="Q1592" s="540"/>
      <c r="R1592" s="540"/>
      <c r="S1592" s="540"/>
      <c r="T1592" s="540"/>
      <c r="U1592" s="540"/>
      <c r="V1592" s="540"/>
      <c r="W1592" s="540"/>
      <c r="X1592" s="540"/>
      <c r="Y1592" s="540"/>
      <c r="Z1592" s="540"/>
    </row>
    <row r="1593" spans="1:26" ht="19">
      <c r="A1593" s="631"/>
      <c r="B1593" s="631"/>
      <c r="C1593" s="631"/>
      <c r="D1593" s="832"/>
      <c r="E1593" s="631"/>
      <c r="F1593" s="631"/>
      <c r="G1593" s="631"/>
      <c r="H1593" s="833"/>
      <c r="I1593" s="834"/>
      <c r="J1593" s="834"/>
      <c r="K1593" s="835"/>
      <c r="L1593" s="835"/>
      <c r="M1593" s="835"/>
      <c r="N1593" s="835"/>
      <c r="O1593" s="835"/>
      <c r="P1593" s="835"/>
      <c r="Q1593" s="540"/>
      <c r="R1593" s="540"/>
      <c r="S1593" s="540"/>
      <c r="T1593" s="540"/>
      <c r="U1593" s="540"/>
      <c r="V1593" s="540"/>
      <c r="W1593" s="540"/>
      <c r="X1593" s="540"/>
      <c r="Y1593" s="540"/>
      <c r="Z1593" s="540"/>
    </row>
    <row r="1594" spans="1:26" ht="19">
      <c r="A1594" s="631"/>
      <c r="B1594" s="631"/>
      <c r="C1594" s="631"/>
      <c r="D1594" s="832"/>
      <c r="E1594" s="631"/>
      <c r="F1594" s="631"/>
      <c r="G1594" s="631"/>
      <c r="H1594" s="833"/>
      <c r="I1594" s="834"/>
      <c r="J1594" s="834"/>
      <c r="K1594" s="835"/>
      <c r="L1594" s="835"/>
      <c r="M1594" s="835"/>
      <c r="N1594" s="835"/>
      <c r="O1594" s="835"/>
      <c r="P1594" s="835"/>
      <c r="Q1594" s="540"/>
      <c r="R1594" s="540"/>
      <c r="S1594" s="540"/>
      <c r="T1594" s="540"/>
      <c r="U1594" s="540"/>
      <c r="V1594" s="540"/>
      <c r="W1594" s="540"/>
      <c r="X1594" s="540"/>
      <c r="Y1594" s="540"/>
      <c r="Z1594" s="540"/>
    </row>
    <row r="1595" spans="1:26" ht="19">
      <c r="A1595" s="631"/>
      <c r="B1595" s="631"/>
      <c r="C1595" s="631"/>
      <c r="D1595" s="832"/>
      <c r="E1595" s="631"/>
      <c r="F1595" s="631"/>
      <c r="G1595" s="631"/>
      <c r="H1595" s="833"/>
      <c r="I1595" s="834"/>
      <c r="J1595" s="834"/>
      <c r="K1595" s="835"/>
      <c r="L1595" s="835"/>
      <c r="M1595" s="835"/>
      <c r="N1595" s="835"/>
      <c r="O1595" s="835"/>
      <c r="P1595" s="835"/>
      <c r="Q1595" s="540"/>
      <c r="R1595" s="540"/>
      <c r="S1595" s="540"/>
      <c r="T1595" s="540"/>
      <c r="U1595" s="540"/>
      <c r="V1595" s="540"/>
      <c r="W1595" s="540"/>
      <c r="X1595" s="540"/>
      <c r="Y1595" s="540"/>
      <c r="Z1595" s="540"/>
    </row>
    <row r="1596" spans="1:26" ht="19">
      <c r="A1596" s="631"/>
      <c r="B1596" s="631"/>
      <c r="C1596" s="631"/>
      <c r="D1596" s="832"/>
      <c r="E1596" s="631"/>
      <c r="F1596" s="631"/>
      <c r="G1596" s="631"/>
      <c r="H1596" s="833"/>
      <c r="I1596" s="834"/>
      <c r="J1596" s="834"/>
      <c r="K1596" s="835"/>
      <c r="L1596" s="835"/>
      <c r="M1596" s="835"/>
      <c r="N1596" s="835"/>
      <c r="O1596" s="835"/>
      <c r="P1596" s="835"/>
      <c r="Q1596" s="540"/>
      <c r="R1596" s="540"/>
      <c r="S1596" s="540"/>
      <c r="T1596" s="540"/>
      <c r="U1596" s="540"/>
      <c r="V1596" s="540"/>
      <c r="W1596" s="540"/>
      <c r="X1596" s="540"/>
      <c r="Y1596" s="540"/>
      <c r="Z1596" s="540"/>
    </row>
    <row r="1597" spans="1:26" ht="19">
      <c r="A1597" s="631"/>
      <c r="B1597" s="631"/>
      <c r="C1597" s="631"/>
      <c r="D1597" s="832"/>
      <c r="E1597" s="631"/>
      <c r="F1597" s="631"/>
      <c r="G1597" s="631"/>
      <c r="H1597" s="833"/>
      <c r="I1597" s="834"/>
      <c r="J1597" s="834"/>
      <c r="K1597" s="835"/>
      <c r="L1597" s="835"/>
      <c r="M1597" s="835"/>
      <c r="N1597" s="835"/>
      <c r="O1597" s="835"/>
      <c r="P1597" s="835"/>
      <c r="Q1597" s="540"/>
      <c r="R1597" s="540"/>
      <c r="S1597" s="540"/>
      <c r="T1597" s="540"/>
      <c r="U1597" s="540"/>
      <c r="V1597" s="540"/>
      <c r="W1597" s="540"/>
      <c r="X1597" s="540"/>
      <c r="Y1597" s="540"/>
      <c r="Z1597" s="540"/>
    </row>
    <row r="1598" spans="1:26" ht="19">
      <c r="A1598" s="631"/>
      <c r="B1598" s="631"/>
      <c r="C1598" s="631"/>
      <c r="D1598" s="832"/>
      <c r="E1598" s="631"/>
      <c r="F1598" s="631"/>
      <c r="G1598" s="631"/>
      <c r="H1598" s="833"/>
      <c r="I1598" s="834"/>
      <c r="J1598" s="834"/>
      <c r="K1598" s="835"/>
      <c r="L1598" s="835"/>
      <c r="M1598" s="835"/>
      <c r="N1598" s="835"/>
      <c r="O1598" s="835"/>
      <c r="P1598" s="835"/>
      <c r="Q1598" s="540"/>
      <c r="R1598" s="540"/>
      <c r="S1598" s="540"/>
      <c r="T1598" s="540"/>
      <c r="U1598" s="540"/>
      <c r="V1598" s="540"/>
      <c r="W1598" s="540"/>
      <c r="X1598" s="540"/>
      <c r="Y1598" s="540"/>
      <c r="Z1598" s="540"/>
    </row>
    <row r="1599" spans="1:26" ht="19">
      <c r="A1599" s="631"/>
      <c r="B1599" s="631"/>
      <c r="C1599" s="631"/>
      <c r="D1599" s="832"/>
      <c r="E1599" s="631"/>
      <c r="F1599" s="631"/>
      <c r="G1599" s="631"/>
      <c r="H1599" s="833"/>
      <c r="I1599" s="834"/>
      <c r="J1599" s="834"/>
      <c r="K1599" s="835"/>
      <c r="L1599" s="835"/>
      <c r="M1599" s="835"/>
      <c r="N1599" s="835"/>
      <c r="O1599" s="835"/>
      <c r="P1599" s="835"/>
      <c r="Q1599" s="540"/>
      <c r="R1599" s="540"/>
      <c r="S1599" s="540"/>
      <c r="T1599" s="540"/>
      <c r="U1599" s="540"/>
      <c r="V1599" s="540"/>
      <c r="W1599" s="540"/>
      <c r="X1599" s="540"/>
      <c r="Y1599" s="540"/>
      <c r="Z1599" s="540"/>
    </row>
    <row r="1600" spans="1:26" ht="19">
      <c r="A1600" s="631"/>
      <c r="B1600" s="631"/>
      <c r="C1600" s="631"/>
      <c r="D1600" s="832"/>
      <c r="E1600" s="631"/>
      <c r="F1600" s="631"/>
      <c r="G1600" s="631"/>
      <c r="H1600" s="833"/>
      <c r="I1600" s="834"/>
      <c r="J1600" s="834"/>
      <c r="K1600" s="835"/>
      <c r="L1600" s="835"/>
      <c r="M1600" s="835"/>
      <c r="N1600" s="835"/>
      <c r="O1600" s="835"/>
      <c r="P1600" s="835"/>
      <c r="Q1600" s="540"/>
      <c r="R1600" s="540"/>
      <c r="S1600" s="540"/>
      <c r="T1600" s="540"/>
      <c r="U1600" s="540"/>
      <c r="V1600" s="540"/>
      <c r="W1600" s="540"/>
      <c r="X1600" s="540"/>
      <c r="Y1600" s="540"/>
      <c r="Z1600" s="540"/>
    </row>
    <row r="1601" spans="1:26" ht="19">
      <c r="A1601" s="631"/>
      <c r="B1601" s="631"/>
      <c r="C1601" s="631"/>
      <c r="D1601" s="832"/>
      <c r="E1601" s="631"/>
      <c r="F1601" s="631"/>
      <c r="G1601" s="631"/>
      <c r="H1601" s="833"/>
      <c r="I1601" s="834"/>
      <c r="J1601" s="834"/>
      <c r="K1601" s="835"/>
      <c r="L1601" s="835"/>
      <c r="M1601" s="835"/>
      <c r="N1601" s="835"/>
      <c r="O1601" s="835"/>
      <c r="P1601" s="835"/>
      <c r="Q1601" s="540"/>
      <c r="R1601" s="540"/>
      <c r="S1601" s="540"/>
      <c r="T1601" s="540"/>
      <c r="U1601" s="540"/>
      <c r="V1601" s="540"/>
      <c r="W1601" s="540"/>
      <c r="X1601" s="540"/>
      <c r="Y1601" s="540"/>
      <c r="Z1601" s="540"/>
    </row>
    <row r="1602" spans="1:26" ht="19">
      <c r="A1602" s="631"/>
      <c r="B1602" s="631"/>
      <c r="C1602" s="631"/>
      <c r="D1602" s="832"/>
      <c r="E1602" s="631"/>
      <c r="F1602" s="631"/>
      <c r="G1602" s="631"/>
      <c r="H1602" s="833"/>
      <c r="I1602" s="834"/>
      <c r="J1602" s="834"/>
      <c r="K1602" s="835"/>
      <c r="L1602" s="835"/>
      <c r="M1602" s="835"/>
      <c r="N1602" s="835"/>
      <c r="O1602" s="835"/>
      <c r="P1602" s="835"/>
      <c r="Q1602" s="540"/>
      <c r="R1602" s="540"/>
      <c r="S1602" s="540"/>
      <c r="T1602" s="540"/>
      <c r="U1602" s="540"/>
      <c r="V1602" s="540"/>
      <c r="W1602" s="540"/>
      <c r="X1602" s="540"/>
      <c r="Y1602" s="540"/>
      <c r="Z1602" s="540"/>
    </row>
    <row r="1603" spans="1:26" ht="19">
      <c r="A1603" s="631"/>
      <c r="B1603" s="631"/>
      <c r="C1603" s="631"/>
      <c r="D1603" s="832"/>
      <c r="E1603" s="631"/>
      <c r="F1603" s="631"/>
      <c r="G1603" s="631"/>
      <c r="H1603" s="833"/>
      <c r="I1603" s="834"/>
      <c r="J1603" s="834"/>
      <c r="K1603" s="835"/>
      <c r="L1603" s="835"/>
      <c r="M1603" s="835"/>
      <c r="N1603" s="835"/>
      <c r="O1603" s="835"/>
      <c r="P1603" s="835"/>
      <c r="Q1603" s="540"/>
      <c r="R1603" s="540"/>
      <c r="S1603" s="540"/>
      <c r="T1603" s="540"/>
      <c r="U1603" s="540"/>
      <c r="V1603" s="540"/>
      <c r="W1603" s="540"/>
      <c r="X1603" s="540"/>
      <c r="Y1603" s="540"/>
      <c r="Z1603" s="540"/>
    </row>
    <row r="1604" spans="1:26" ht="19">
      <c r="A1604" s="631"/>
      <c r="B1604" s="631"/>
      <c r="C1604" s="631"/>
      <c r="D1604" s="832"/>
      <c r="E1604" s="631"/>
      <c r="F1604" s="631"/>
      <c r="G1604" s="631"/>
      <c r="H1604" s="833"/>
      <c r="I1604" s="834"/>
      <c r="J1604" s="834"/>
      <c r="K1604" s="835"/>
      <c r="L1604" s="835"/>
      <c r="M1604" s="835"/>
      <c r="N1604" s="835"/>
      <c r="O1604" s="835"/>
      <c r="P1604" s="835"/>
      <c r="Q1604" s="540"/>
      <c r="R1604" s="540"/>
      <c r="S1604" s="540"/>
      <c r="T1604" s="540"/>
      <c r="U1604" s="540"/>
      <c r="V1604" s="540"/>
      <c r="W1604" s="540"/>
      <c r="X1604" s="540"/>
      <c r="Y1604" s="540"/>
      <c r="Z1604" s="540"/>
    </row>
    <row r="1605" spans="1:26" ht="19">
      <c r="A1605" s="631"/>
      <c r="B1605" s="631"/>
      <c r="C1605" s="631"/>
      <c r="D1605" s="832"/>
      <c r="E1605" s="631"/>
      <c r="F1605" s="631"/>
      <c r="G1605" s="631"/>
      <c r="H1605" s="833"/>
      <c r="I1605" s="834"/>
      <c r="J1605" s="834"/>
      <c r="K1605" s="835"/>
      <c r="L1605" s="835"/>
      <c r="M1605" s="835"/>
      <c r="N1605" s="835"/>
      <c r="O1605" s="835"/>
      <c r="P1605" s="835"/>
      <c r="Q1605" s="540"/>
      <c r="R1605" s="540"/>
      <c r="S1605" s="540"/>
      <c r="T1605" s="540"/>
      <c r="U1605" s="540"/>
      <c r="V1605" s="540"/>
      <c r="W1605" s="540"/>
      <c r="X1605" s="540"/>
      <c r="Y1605" s="540"/>
      <c r="Z1605" s="540"/>
    </row>
    <row r="1606" spans="1:26" ht="19">
      <c r="A1606" s="631"/>
      <c r="B1606" s="631"/>
      <c r="C1606" s="631"/>
      <c r="D1606" s="832"/>
      <c r="E1606" s="631"/>
      <c r="F1606" s="631"/>
      <c r="G1606" s="631"/>
      <c r="H1606" s="833"/>
      <c r="I1606" s="834"/>
      <c r="J1606" s="834"/>
      <c r="K1606" s="835"/>
      <c r="L1606" s="835"/>
      <c r="M1606" s="835"/>
      <c r="N1606" s="835"/>
      <c r="O1606" s="835"/>
      <c r="P1606" s="835"/>
      <c r="Q1606" s="540"/>
      <c r="R1606" s="540"/>
      <c r="S1606" s="540"/>
      <c r="T1606" s="540"/>
      <c r="U1606" s="540"/>
      <c r="V1606" s="540"/>
      <c r="W1606" s="540"/>
      <c r="X1606" s="540"/>
      <c r="Y1606" s="540"/>
      <c r="Z1606" s="540"/>
    </row>
    <row r="1607" spans="1:26" ht="19">
      <c r="A1607" s="631"/>
      <c r="B1607" s="631"/>
      <c r="C1607" s="631"/>
      <c r="D1607" s="832"/>
      <c r="E1607" s="631"/>
      <c r="F1607" s="631"/>
      <c r="G1607" s="631"/>
      <c r="H1607" s="833"/>
      <c r="I1607" s="834"/>
      <c r="J1607" s="834"/>
      <c r="K1607" s="835"/>
      <c r="L1607" s="835"/>
      <c r="M1607" s="835"/>
      <c r="N1607" s="835"/>
      <c r="O1607" s="835"/>
      <c r="P1607" s="835"/>
      <c r="Q1607" s="540"/>
      <c r="R1607" s="540"/>
      <c r="S1607" s="540"/>
      <c r="T1607" s="540"/>
      <c r="U1607" s="540"/>
      <c r="V1607" s="540"/>
      <c r="W1607" s="540"/>
      <c r="X1607" s="540"/>
      <c r="Y1607" s="540"/>
      <c r="Z1607" s="540"/>
    </row>
    <row r="1608" spans="1:26" ht="19">
      <c r="A1608" s="631"/>
      <c r="B1608" s="631"/>
      <c r="C1608" s="631"/>
      <c r="D1608" s="832"/>
      <c r="E1608" s="631"/>
      <c r="F1608" s="631"/>
      <c r="G1608" s="631"/>
      <c r="H1608" s="833"/>
      <c r="I1608" s="834"/>
      <c r="J1608" s="834"/>
      <c r="K1608" s="835"/>
      <c r="L1608" s="835"/>
      <c r="M1608" s="835"/>
      <c r="N1608" s="835"/>
      <c r="O1608" s="835"/>
      <c r="P1608" s="835"/>
      <c r="Q1608" s="540"/>
      <c r="R1608" s="540"/>
      <c r="S1608" s="540"/>
      <c r="T1608" s="540"/>
      <c r="U1608" s="540"/>
      <c r="V1608" s="540"/>
      <c r="W1608" s="540"/>
      <c r="X1608" s="540"/>
      <c r="Y1608" s="540"/>
      <c r="Z1608" s="540"/>
    </row>
    <row r="1609" spans="1:26" ht="19">
      <c r="A1609" s="631"/>
      <c r="B1609" s="631"/>
      <c r="C1609" s="631"/>
      <c r="D1609" s="832"/>
      <c r="E1609" s="631"/>
      <c r="F1609" s="631"/>
      <c r="G1609" s="631"/>
      <c r="H1609" s="833"/>
      <c r="I1609" s="834"/>
      <c r="J1609" s="834"/>
      <c r="K1609" s="835"/>
      <c r="L1609" s="835"/>
      <c r="M1609" s="835"/>
      <c r="N1609" s="835"/>
      <c r="O1609" s="835"/>
      <c r="P1609" s="835"/>
      <c r="Q1609" s="540"/>
      <c r="R1609" s="540"/>
      <c r="S1609" s="540"/>
      <c r="T1609" s="540"/>
      <c r="U1609" s="540"/>
      <c r="V1609" s="540"/>
      <c r="W1609" s="540"/>
      <c r="X1609" s="540"/>
      <c r="Y1609" s="540"/>
      <c r="Z1609" s="540"/>
    </row>
    <row r="1610" spans="1:26" ht="19">
      <c r="A1610" s="631"/>
      <c r="B1610" s="631"/>
      <c r="C1610" s="631"/>
      <c r="D1610" s="832"/>
      <c r="E1610" s="631"/>
      <c r="F1610" s="631"/>
      <c r="G1610" s="631"/>
      <c r="H1610" s="833"/>
      <c r="I1610" s="834"/>
      <c r="J1610" s="834"/>
      <c r="K1610" s="835"/>
      <c r="L1610" s="835"/>
      <c r="M1610" s="835"/>
      <c r="N1610" s="835"/>
      <c r="O1610" s="835"/>
      <c r="P1610" s="835"/>
      <c r="Q1610" s="540"/>
      <c r="R1610" s="540"/>
      <c r="S1610" s="540"/>
      <c r="T1610" s="540"/>
      <c r="U1610" s="540"/>
      <c r="V1610" s="540"/>
      <c r="W1610" s="540"/>
      <c r="X1610" s="540"/>
      <c r="Y1610" s="540"/>
      <c r="Z1610" s="540"/>
    </row>
    <row r="1611" spans="1:26" ht="19">
      <c r="A1611" s="631"/>
      <c r="B1611" s="631"/>
      <c r="C1611" s="631"/>
      <c r="D1611" s="832"/>
      <c r="E1611" s="631"/>
      <c r="F1611" s="631"/>
      <c r="G1611" s="631"/>
      <c r="H1611" s="833"/>
      <c r="I1611" s="834"/>
      <c r="J1611" s="834"/>
      <c r="K1611" s="835"/>
      <c r="L1611" s="835"/>
      <c r="M1611" s="835"/>
      <c r="N1611" s="835"/>
      <c r="O1611" s="835"/>
      <c r="P1611" s="835"/>
      <c r="Q1611" s="540"/>
      <c r="R1611" s="540"/>
      <c r="S1611" s="540"/>
      <c r="T1611" s="540"/>
      <c r="U1611" s="540"/>
      <c r="V1611" s="540"/>
      <c r="W1611" s="540"/>
      <c r="X1611" s="540"/>
      <c r="Y1611" s="540"/>
      <c r="Z1611" s="540"/>
    </row>
    <row r="1612" spans="1:26" ht="19">
      <c r="A1612" s="631"/>
      <c r="B1612" s="631"/>
      <c r="C1612" s="631"/>
      <c r="D1612" s="832"/>
      <c r="E1612" s="631"/>
      <c r="F1612" s="631"/>
      <c r="G1612" s="631"/>
      <c r="H1612" s="833"/>
      <c r="I1612" s="834"/>
      <c r="J1612" s="834"/>
      <c r="K1612" s="835"/>
      <c r="L1612" s="835"/>
      <c r="M1612" s="835"/>
      <c r="N1612" s="835"/>
      <c r="O1612" s="835"/>
      <c r="P1612" s="835"/>
      <c r="Q1612" s="540"/>
      <c r="R1612" s="540"/>
      <c r="S1612" s="540"/>
      <c r="T1612" s="540"/>
      <c r="U1612" s="540"/>
      <c r="V1612" s="540"/>
      <c r="W1612" s="540"/>
      <c r="X1612" s="540"/>
      <c r="Y1612" s="540"/>
      <c r="Z1612" s="540"/>
    </row>
    <row r="1613" spans="1:26" ht="19">
      <c r="A1613" s="631"/>
      <c r="B1613" s="631"/>
      <c r="C1613" s="631"/>
      <c r="D1613" s="832"/>
      <c r="E1613" s="631"/>
      <c r="F1613" s="631"/>
      <c r="G1613" s="631"/>
      <c r="H1613" s="833"/>
      <c r="I1613" s="834"/>
      <c r="J1613" s="834"/>
      <c r="K1613" s="835"/>
      <c r="L1613" s="835"/>
      <c r="M1613" s="835"/>
      <c r="N1613" s="835"/>
      <c r="O1613" s="835"/>
      <c r="P1613" s="835"/>
      <c r="Q1613" s="540"/>
      <c r="R1613" s="540"/>
      <c r="S1613" s="540"/>
      <c r="T1613" s="540"/>
      <c r="U1613" s="540"/>
      <c r="V1613" s="540"/>
      <c r="W1613" s="540"/>
      <c r="X1613" s="540"/>
      <c r="Y1613" s="540"/>
      <c r="Z1613" s="540"/>
    </row>
    <row r="1614" spans="1:26" ht="19">
      <c r="A1614" s="631"/>
      <c r="B1614" s="631"/>
      <c r="C1614" s="631"/>
      <c r="D1614" s="832"/>
      <c r="E1614" s="631"/>
      <c r="F1614" s="631"/>
      <c r="G1614" s="631"/>
      <c r="H1614" s="833"/>
      <c r="I1614" s="834"/>
      <c r="J1614" s="834"/>
      <c r="K1614" s="835"/>
      <c r="L1614" s="835"/>
      <c r="M1614" s="835"/>
      <c r="N1614" s="835"/>
      <c r="O1614" s="835"/>
      <c r="P1614" s="835"/>
      <c r="Q1614" s="540"/>
      <c r="R1614" s="540"/>
      <c r="S1614" s="540"/>
      <c r="T1614" s="540"/>
      <c r="U1614" s="540"/>
      <c r="V1614" s="540"/>
      <c r="W1614" s="540"/>
      <c r="X1614" s="540"/>
      <c r="Y1614" s="540"/>
      <c r="Z1614" s="540"/>
    </row>
    <row r="1615" spans="1:26" ht="19">
      <c r="A1615" s="631"/>
      <c r="B1615" s="631"/>
      <c r="C1615" s="631"/>
      <c r="D1615" s="832"/>
      <c r="E1615" s="631"/>
      <c r="F1615" s="631"/>
      <c r="G1615" s="631"/>
      <c r="H1615" s="833"/>
      <c r="I1615" s="834"/>
      <c r="J1615" s="834"/>
      <c r="K1615" s="835"/>
      <c r="L1615" s="835"/>
      <c r="M1615" s="835"/>
      <c r="N1615" s="835"/>
      <c r="O1615" s="835"/>
      <c r="P1615" s="835"/>
      <c r="Q1615" s="540"/>
      <c r="R1615" s="540"/>
      <c r="S1615" s="540"/>
      <c r="T1615" s="540"/>
      <c r="U1615" s="540"/>
      <c r="V1615" s="540"/>
      <c r="W1615" s="540"/>
      <c r="X1615" s="540"/>
      <c r="Y1615" s="540"/>
      <c r="Z1615" s="540"/>
    </row>
    <row r="1616" spans="1:26" ht="19">
      <c r="A1616" s="631"/>
      <c r="B1616" s="631"/>
      <c r="C1616" s="631"/>
      <c r="D1616" s="832"/>
      <c r="E1616" s="631"/>
      <c r="F1616" s="631"/>
      <c r="G1616" s="631"/>
      <c r="H1616" s="833"/>
      <c r="I1616" s="834"/>
      <c r="J1616" s="834"/>
      <c r="K1616" s="835"/>
      <c r="L1616" s="835"/>
      <c r="M1616" s="835"/>
      <c r="N1616" s="835"/>
      <c r="O1616" s="835"/>
      <c r="P1616" s="835"/>
      <c r="Q1616" s="540"/>
      <c r="R1616" s="540"/>
      <c r="S1616" s="540"/>
      <c r="T1616" s="540"/>
      <c r="U1616" s="540"/>
      <c r="V1616" s="540"/>
      <c r="W1616" s="540"/>
      <c r="X1616" s="540"/>
      <c r="Y1616" s="540"/>
      <c r="Z1616" s="540"/>
    </row>
    <row r="1617" spans="1:26" ht="19">
      <c r="A1617" s="631"/>
      <c r="B1617" s="631"/>
      <c r="C1617" s="631"/>
      <c r="D1617" s="832"/>
      <c r="E1617" s="631"/>
      <c r="F1617" s="631"/>
      <c r="G1617" s="631"/>
      <c r="H1617" s="833"/>
      <c r="I1617" s="834"/>
      <c r="J1617" s="834"/>
      <c r="K1617" s="835"/>
      <c r="L1617" s="835"/>
      <c r="M1617" s="835"/>
      <c r="N1617" s="835"/>
      <c r="O1617" s="835"/>
      <c r="P1617" s="835"/>
      <c r="Q1617" s="540"/>
      <c r="R1617" s="540"/>
      <c r="S1617" s="540"/>
      <c r="T1617" s="540"/>
      <c r="U1617" s="540"/>
      <c r="V1617" s="540"/>
      <c r="W1617" s="540"/>
      <c r="X1617" s="540"/>
      <c r="Y1617" s="540"/>
      <c r="Z1617" s="540"/>
    </row>
    <row r="1618" spans="1:26" ht="19">
      <c r="A1618" s="631"/>
      <c r="B1618" s="631"/>
      <c r="C1618" s="631"/>
      <c r="D1618" s="832"/>
      <c r="E1618" s="631"/>
      <c r="F1618" s="631"/>
      <c r="G1618" s="631"/>
      <c r="H1618" s="833"/>
      <c r="I1618" s="834"/>
      <c r="J1618" s="834"/>
      <c r="K1618" s="835"/>
      <c r="L1618" s="835"/>
      <c r="M1618" s="835"/>
      <c r="N1618" s="835"/>
      <c r="O1618" s="835"/>
      <c r="P1618" s="835"/>
      <c r="Q1618" s="540"/>
      <c r="R1618" s="540"/>
      <c r="S1618" s="540"/>
      <c r="T1618" s="540"/>
      <c r="U1618" s="540"/>
      <c r="V1618" s="540"/>
      <c r="W1618" s="540"/>
      <c r="X1618" s="540"/>
      <c r="Y1618" s="540"/>
      <c r="Z1618" s="540"/>
    </row>
    <row r="1619" spans="1:26" ht="19">
      <c r="A1619" s="631"/>
      <c r="B1619" s="631"/>
      <c r="C1619" s="631"/>
      <c r="D1619" s="832"/>
      <c r="E1619" s="631"/>
      <c r="F1619" s="631"/>
      <c r="G1619" s="631"/>
      <c r="H1619" s="833"/>
      <c r="I1619" s="834"/>
      <c r="J1619" s="834"/>
      <c r="K1619" s="835"/>
      <c r="L1619" s="835"/>
      <c r="M1619" s="835"/>
      <c r="N1619" s="835"/>
      <c r="O1619" s="835"/>
      <c r="P1619" s="835"/>
      <c r="Q1619" s="540"/>
      <c r="R1619" s="540"/>
      <c r="S1619" s="540"/>
      <c r="T1619" s="540"/>
      <c r="U1619" s="540"/>
      <c r="V1619" s="540"/>
      <c r="W1619" s="540"/>
      <c r="X1619" s="540"/>
      <c r="Y1619" s="540"/>
      <c r="Z1619" s="540"/>
    </row>
    <row r="1620" spans="1:26" ht="19">
      <c r="A1620" s="631"/>
      <c r="B1620" s="631"/>
      <c r="C1620" s="631"/>
      <c r="D1620" s="832"/>
      <c r="E1620" s="631"/>
      <c r="F1620" s="631"/>
      <c r="G1620" s="631"/>
      <c r="H1620" s="833"/>
      <c r="I1620" s="834"/>
      <c r="J1620" s="834"/>
      <c r="K1620" s="835"/>
      <c r="L1620" s="835"/>
      <c r="M1620" s="835"/>
      <c r="N1620" s="835"/>
      <c r="O1620" s="835"/>
      <c r="P1620" s="835"/>
      <c r="Q1620" s="540"/>
      <c r="R1620" s="540"/>
      <c r="S1620" s="540"/>
      <c r="T1620" s="540"/>
      <c r="U1620" s="540"/>
      <c r="V1620" s="540"/>
      <c r="W1620" s="540"/>
      <c r="X1620" s="540"/>
      <c r="Y1620" s="540"/>
      <c r="Z1620" s="540"/>
    </row>
    <row r="1621" spans="1:26" ht="19">
      <c r="A1621" s="631"/>
      <c r="B1621" s="631"/>
      <c r="C1621" s="631"/>
      <c r="D1621" s="832"/>
      <c r="E1621" s="631"/>
      <c r="F1621" s="631"/>
      <c r="G1621" s="631"/>
      <c r="H1621" s="833"/>
      <c r="I1621" s="834"/>
      <c r="J1621" s="834"/>
      <c r="K1621" s="835"/>
      <c r="L1621" s="835"/>
      <c r="M1621" s="835"/>
      <c r="N1621" s="835"/>
      <c r="O1621" s="835"/>
      <c r="P1621" s="835"/>
      <c r="Q1621" s="540"/>
      <c r="R1621" s="540"/>
      <c r="S1621" s="540"/>
      <c r="T1621" s="540"/>
      <c r="U1621" s="540"/>
      <c r="V1621" s="540"/>
      <c r="W1621" s="540"/>
      <c r="X1621" s="540"/>
      <c r="Y1621" s="540"/>
      <c r="Z1621" s="540"/>
    </row>
    <row r="1622" spans="1:26" ht="19">
      <c r="A1622" s="631"/>
      <c r="B1622" s="631"/>
      <c r="C1622" s="631"/>
      <c r="D1622" s="832"/>
      <c r="E1622" s="631"/>
      <c r="F1622" s="631"/>
      <c r="G1622" s="631"/>
      <c r="H1622" s="833"/>
      <c r="I1622" s="834"/>
      <c r="J1622" s="834"/>
      <c r="K1622" s="835"/>
      <c r="L1622" s="835"/>
      <c r="M1622" s="835"/>
      <c r="N1622" s="835"/>
      <c r="O1622" s="835"/>
      <c r="P1622" s="835"/>
      <c r="Q1622" s="540"/>
      <c r="R1622" s="540"/>
      <c r="S1622" s="540"/>
      <c r="T1622" s="540"/>
      <c r="U1622" s="540"/>
      <c r="V1622" s="540"/>
      <c r="W1622" s="540"/>
      <c r="X1622" s="540"/>
      <c r="Y1622" s="540"/>
      <c r="Z1622" s="540"/>
    </row>
    <row r="1623" spans="1:26" ht="19">
      <c r="A1623" s="631"/>
      <c r="B1623" s="631"/>
      <c r="C1623" s="631"/>
      <c r="D1623" s="832"/>
      <c r="E1623" s="631"/>
      <c r="F1623" s="631"/>
      <c r="G1623" s="631"/>
      <c r="H1623" s="833"/>
      <c r="I1623" s="834"/>
      <c r="J1623" s="834"/>
      <c r="K1623" s="835"/>
      <c r="L1623" s="835"/>
      <c r="M1623" s="835"/>
      <c r="N1623" s="835"/>
      <c r="O1623" s="835"/>
      <c r="P1623" s="835"/>
      <c r="Q1623" s="540"/>
      <c r="R1623" s="540"/>
      <c r="S1623" s="540"/>
      <c r="T1623" s="540"/>
      <c r="U1623" s="540"/>
      <c r="V1623" s="540"/>
      <c r="W1623" s="540"/>
      <c r="X1623" s="540"/>
      <c r="Y1623" s="540"/>
      <c r="Z1623" s="540"/>
    </row>
    <row r="1624" spans="1:26" ht="19">
      <c r="A1624" s="631"/>
      <c r="B1624" s="631"/>
      <c r="C1624" s="631"/>
      <c r="D1624" s="832"/>
      <c r="E1624" s="631"/>
      <c r="F1624" s="631"/>
      <c r="G1624" s="631"/>
      <c r="H1624" s="833"/>
      <c r="I1624" s="834"/>
      <c r="J1624" s="834"/>
      <c r="K1624" s="835"/>
      <c r="L1624" s="835"/>
      <c r="M1624" s="835"/>
      <c r="N1624" s="835"/>
      <c r="O1624" s="835"/>
      <c r="P1624" s="835"/>
      <c r="Q1624" s="540"/>
      <c r="R1624" s="540"/>
      <c r="S1624" s="540"/>
      <c r="T1624" s="540"/>
      <c r="U1624" s="540"/>
      <c r="V1624" s="540"/>
      <c r="W1624" s="540"/>
      <c r="X1624" s="540"/>
      <c r="Y1624" s="540"/>
      <c r="Z1624" s="540"/>
    </row>
    <row r="1625" spans="1:26" ht="19">
      <c r="A1625" s="631"/>
      <c r="B1625" s="631"/>
      <c r="C1625" s="631"/>
      <c r="D1625" s="832"/>
      <c r="E1625" s="631"/>
      <c r="F1625" s="631"/>
      <c r="G1625" s="631"/>
      <c r="H1625" s="833"/>
      <c r="I1625" s="834"/>
      <c r="J1625" s="834"/>
      <c r="K1625" s="835"/>
      <c r="L1625" s="835"/>
      <c r="M1625" s="835"/>
      <c r="N1625" s="835"/>
      <c r="O1625" s="835"/>
      <c r="P1625" s="835"/>
      <c r="Q1625" s="540"/>
      <c r="R1625" s="540"/>
      <c r="S1625" s="540"/>
      <c r="T1625" s="540"/>
      <c r="U1625" s="540"/>
      <c r="V1625" s="540"/>
      <c r="W1625" s="540"/>
      <c r="X1625" s="540"/>
      <c r="Y1625" s="540"/>
      <c r="Z1625" s="540"/>
    </row>
    <row r="1626" spans="1:26" ht="19">
      <c r="A1626" s="631"/>
      <c r="B1626" s="631"/>
      <c r="C1626" s="631"/>
      <c r="D1626" s="832"/>
      <c r="E1626" s="631"/>
      <c r="F1626" s="631"/>
      <c r="G1626" s="631"/>
      <c r="H1626" s="833"/>
      <c r="I1626" s="834"/>
      <c r="J1626" s="834"/>
      <c r="K1626" s="835"/>
      <c r="L1626" s="835"/>
      <c r="M1626" s="835"/>
      <c r="N1626" s="835"/>
      <c r="O1626" s="835"/>
      <c r="P1626" s="835"/>
      <c r="Q1626" s="540"/>
      <c r="R1626" s="540"/>
      <c r="S1626" s="540"/>
      <c r="T1626" s="540"/>
      <c r="U1626" s="540"/>
      <c r="V1626" s="540"/>
      <c r="W1626" s="540"/>
      <c r="X1626" s="540"/>
      <c r="Y1626" s="540"/>
      <c r="Z1626" s="540"/>
    </row>
    <row r="1627" spans="1:26" ht="19">
      <c r="A1627" s="631"/>
      <c r="B1627" s="631"/>
      <c r="C1627" s="631"/>
      <c r="D1627" s="832"/>
      <c r="E1627" s="631"/>
      <c r="F1627" s="631"/>
      <c r="G1627" s="631"/>
      <c r="H1627" s="833"/>
      <c r="I1627" s="834"/>
      <c r="J1627" s="834"/>
      <c r="K1627" s="835"/>
      <c r="L1627" s="835"/>
      <c r="M1627" s="835"/>
      <c r="N1627" s="835"/>
      <c r="O1627" s="835"/>
      <c r="P1627" s="835"/>
      <c r="Q1627" s="540"/>
      <c r="R1627" s="540"/>
      <c r="S1627" s="540"/>
      <c r="T1627" s="540"/>
      <c r="U1627" s="540"/>
      <c r="V1627" s="540"/>
      <c r="W1627" s="540"/>
      <c r="X1627" s="540"/>
      <c r="Y1627" s="540"/>
      <c r="Z1627" s="540"/>
    </row>
    <row r="1628" spans="1:26" ht="19">
      <c r="A1628" s="631"/>
      <c r="B1628" s="631"/>
      <c r="C1628" s="631"/>
      <c r="D1628" s="832"/>
      <c r="E1628" s="631"/>
      <c r="F1628" s="631"/>
      <c r="G1628" s="631"/>
      <c r="H1628" s="833"/>
      <c r="I1628" s="834"/>
      <c r="J1628" s="834"/>
      <c r="K1628" s="835"/>
      <c r="L1628" s="835"/>
      <c r="M1628" s="835"/>
      <c r="N1628" s="835"/>
      <c r="O1628" s="835"/>
      <c r="P1628" s="835"/>
      <c r="Q1628" s="540"/>
      <c r="R1628" s="540"/>
      <c r="S1628" s="540"/>
      <c r="T1628" s="540"/>
      <c r="U1628" s="540"/>
      <c r="V1628" s="540"/>
      <c r="W1628" s="540"/>
      <c r="X1628" s="540"/>
      <c r="Y1628" s="540"/>
      <c r="Z1628" s="540"/>
    </row>
    <row r="1629" spans="1:26" ht="19">
      <c r="A1629" s="631"/>
      <c r="B1629" s="631"/>
      <c r="C1629" s="631"/>
      <c r="D1629" s="832"/>
      <c r="E1629" s="631"/>
      <c r="F1629" s="631"/>
      <c r="G1629" s="631"/>
      <c r="H1629" s="833"/>
      <c r="I1629" s="834"/>
      <c r="J1629" s="834"/>
      <c r="K1629" s="835"/>
      <c r="L1629" s="835"/>
      <c r="M1629" s="835"/>
      <c r="N1629" s="835"/>
      <c r="O1629" s="835"/>
      <c r="P1629" s="835"/>
      <c r="Q1629" s="540"/>
      <c r="R1629" s="540"/>
      <c r="S1629" s="540"/>
      <c r="T1629" s="540"/>
      <c r="U1629" s="540"/>
      <c r="V1629" s="540"/>
      <c r="W1629" s="540"/>
      <c r="X1629" s="540"/>
      <c r="Y1629" s="540"/>
      <c r="Z1629" s="540"/>
    </row>
    <row r="1630" spans="1:26" ht="19">
      <c r="A1630" s="631"/>
      <c r="B1630" s="631"/>
      <c r="C1630" s="631"/>
      <c r="D1630" s="832"/>
      <c r="E1630" s="631"/>
      <c r="F1630" s="631"/>
      <c r="G1630" s="631"/>
      <c r="H1630" s="833"/>
      <c r="I1630" s="834"/>
      <c r="J1630" s="834"/>
      <c r="K1630" s="835"/>
      <c r="L1630" s="835"/>
      <c r="M1630" s="835"/>
      <c r="N1630" s="835"/>
      <c r="O1630" s="835"/>
      <c r="P1630" s="835"/>
      <c r="Q1630" s="540"/>
      <c r="R1630" s="540"/>
      <c r="S1630" s="540"/>
      <c r="T1630" s="540"/>
      <c r="U1630" s="540"/>
      <c r="V1630" s="540"/>
      <c r="W1630" s="540"/>
      <c r="X1630" s="540"/>
      <c r="Y1630" s="540"/>
      <c r="Z1630" s="540"/>
    </row>
    <row r="1631" spans="1:26" ht="19">
      <c r="A1631" s="631"/>
      <c r="B1631" s="631"/>
      <c r="C1631" s="631"/>
      <c r="D1631" s="832"/>
      <c r="E1631" s="631"/>
      <c r="F1631" s="631"/>
      <c r="G1631" s="631"/>
      <c r="H1631" s="833"/>
      <c r="I1631" s="834"/>
      <c r="J1631" s="834"/>
      <c r="K1631" s="835"/>
      <c r="L1631" s="835"/>
      <c r="M1631" s="835"/>
      <c r="N1631" s="835"/>
      <c r="O1631" s="835"/>
      <c r="P1631" s="835"/>
      <c r="Q1631" s="540"/>
      <c r="R1631" s="540"/>
      <c r="S1631" s="540"/>
      <c r="T1631" s="540"/>
      <c r="U1631" s="540"/>
      <c r="V1631" s="540"/>
      <c r="W1631" s="540"/>
      <c r="X1631" s="540"/>
      <c r="Y1631" s="540"/>
      <c r="Z1631" s="540"/>
    </row>
    <row r="1632" spans="1:26" ht="19">
      <c r="A1632" s="631"/>
      <c r="B1632" s="631"/>
      <c r="C1632" s="631"/>
      <c r="D1632" s="832"/>
      <c r="E1632" s="631"/>
      <c r="F1632" s="631"/>
      <c r="G1632" s="631"/>
      <c r="H1632" s="833"/>
      <c r="I1632" s="834"/>
      <c r="J1632" s="834"/>
      <c r="K1632" s="835"/>
      <c r="L1632" s="835"/>
      <c r="M1632" s="835"/>
      <c r="N1632" s="835"/>
      <c r="O1632" s="835"/>
      <c r="P1632" s="835"/>
      <c r="Q1632" s="540"/>
      <c r="R1632" s="540"/>
      <c r="S1632" s="540"/>
      <c r="T1632" s="540"/>
      <c r="U1632" s="540"/>
      <c r="V1632" s="540"/>
      <c r="W1632" s="540"/>
      <c r="X1632" s="540"/>
      <c r="Y1632" s="540"/>
      <c r="Z1632" s="540"/>
    </row>
    <row r="1633" spans="1:26" ht="19">
      <c r="A1633" s="631"/>
      <c r="B1633" s="631"/>
      <c r="C1633" s="631"/>
      <c r="D1633" s="832"/>
      <c r="E1633" s="631"/>
      <c r="F1633" s="631"/>
      <c r="G1633" s="631"/>
      <c r="H1633" s="833"/>
      <c r="I1633" s="834"/>
      <c r="J1633" s="834"/>
      <c r="K1633" s="835"/>
      <c r="L1633" s="835"/>
      <c r="M1633" s="835"/>
      <c r="N1633" s="835"/>
      <c r="O1633" s="835"/>
      <c r="P1633" s="835"/>
      <c r="Q1633" s="540"/>
      <c r="R1633" s="540"/>
      <c r="S1633" s="540"/>
      <c r="T1633" s="540"/>
      <c r="U1633" s="540"/>
      <c r="V1633" s="540"/>
      <c r="W1633" s="540"/>
      <c r="X1633" s="540"/>
      <c r="Y1633" s="540"/>
      <c r="Z1633" s="540"/>
    </row>
    <row r="1634" spans="1:26" ht="19">
      <c r="A1634" s="631"/>
      <c r="B1634" s="631"/>
      <c r="C1634" s="631"/>
      <c r="D1634" s="832"/>
      <c r="E1634" s="631"/>
      <c r="F1634" s="631"/>
      <c r="G1634" s="631"/>
      <c r="H1634" s="833"/>
      <c r="I1634" s="834"/>
      <c r="J1634" s="834"/>
      <c r="K1634" s="835"/>
      <c r="L1634" s="835"/>
      <c r="M1634" s="835"/>
      <c r="N1634" s="835"/>
      <c r="O1634" s="835"/>
      <c r="P1634" s="835"/>
      <c r="Q1634" s="540"/>
      <c r="R1634" s="540"/>
      <c r="S1634" s="540"/>
      <c r="T1634" s="540"/>
      <c r="U1634" s="540"/>
      <c r="V1634" s="540"/>
      <c r="W1634" s="540"/>
      <c r="X1634" s="540"/>
      <c r="Y1634" s="540"/>
      <c r="Z1634" s="540"/>
    </row>
    <row r="1635" spans="1:26" ht="19">
      <c r="A1635" s="631"/>
      <c r="B1635" s="631"/>
      <c r="C1635" s="631"/>
      <c r="D1635" s="832"/>
      <c r="E1635" s="631"/>
      <c r="F1635" s="631"/>
      <c r="G1635" s="631"/>
      <c r="H1635" s="833"/>
      <c r="I1635" s="834"/>
      <c r="J1635" s="834"/>
      <c r="K1635" s="835"/>
      <c r="L1635" s="835"/>
      <c r="M1635" s="835"/>
      <c r="N1635" s="835"/>
      <c r="O1635" s="835"/>
      <c r="P1635" s="835"/>
      <c r="Q1635" s="540"/>
      <c r="R1635" s="540"/>
      <c r="S1635" s="540"/>
      <c r="T1635" s="540"/>
      <c r="U1635" s="540"/>
      <c r="V1635" s="540"/>
      <c r="W1635" s="540"/>
      <c r="X1635" s="540"/>
      <c r="Y1635" s="540"/>
      <c r="Z1635" s="540"/>
    </row>
    <row r="1636" spans="1:26" ht="19">
      <c r="A1636" s="631"/>
      <c r="B1636" s="631"/>
      <c r="C1636" s="631"/>
      <c r="D1636" s="832"/>
      <c r="E1636" s="631"/>
      <c r="F1636" s="631"/>
      <c r="G1636" s="631"/>
      <c r="H1636" s="833"/>
      <c r="I1636" s="834"/>
      <c r="J1636" s="834"/>
      <c r="K1636" s="835"/>
      <c r="L1636" s="835"/>
      <c r="M1636" s="835"/>
      <c r="N1636" s="835"/>
      <c r="O1636" s="835"/>
      <c r="P1636" s="835"/>
      <c r="Q1636" s="540"/>
      <c r="R1636" s="540"/>
      <c r="S1636" s="540"/>
      <c r="T1636" s="540"/>
      <c r="U1636" s="540"/>
      <c r="V1636" s="540"/>
      <c r="W1636" s="540"/>
      <c r="X1636" s="540"/>
      <c r="Y1636" s="540"/>
      <c r="Z1636" s="540"/>
    </row>
    <row r="1637" spans="1:26" ht="19">
      <c r="A1637" s="631"/>
      <c r="B1637" s="631"/>
      <c r="C1637" s="631"/>
      <c r="D1637" s="832"/>
      <c r="E1637" s="631"/>
      <c r="F1637" s="631"/>
      <c r="G1637" s="631"/>
      <c r="H1637" s="833"/>
      <c r="I1637" s="834"/>
      <c r="J1637" s="834"/>
      <c r="K1637" s="835"/>
      <c r="L1637" s="835"/>
      <c r="M1637" s="835"/>
      <c r="N1637" s="835"/>
      <c r="O1637" s="835"/>
      <c r="P1637" s="835"/>
      <c r="Q1637" s="540"/>
      <c r="R1637" s="540"/>
      <c r="S1637" s="540"/>
      <c r="T1637" s="540"/>
      <c r="U1637" s="540"/>
      <c r="V1637" s="540"/>
      <c r="W1637" s="540"/>
      <c r="X1637" s="540"/>
      <c r="Y1637" s="540"/>
      <c r="Z1637" s="540"/>
    </row>
    <row r="1638" spans="1:26" ht="19">
      <c r="A1638" s="631"/>
      <c r="B1638" s="631"/>
      <c r="C1638" s="631"/>
      <c r="D1638" s="832"/>
      <c r="E1638" s="631"/>
      <c r="F1638" s="631"/>
      <c r="G1638" s="631"/>
      <c r="H1638" s="833"/>
      <c r="I1638" s="834"/>
      <c r="J1638" s="834"/>
      <c r="K1638" s="835"/>
      <c r="L1638" s="835"/>
      <c r="M1638" s="835"/>
      <c r="N1638" s="835"/>
      <c r="O1638" s="835"/>
      <c r="P1638" s="835"/>
      <c r="Q1638" s="540"/>
      <c r="R1638" s="540"/>
      <c r="S1638" s="540"/>
      <c r="T1638" s="540"/>
      <c r="U1638" s="540"/>
      <c r="V1638" s="540"/>
      <c r="W1638" s="540"/>
      <c r="X1638" s="540"/>
      <c r="Y1638" s="540"/>
      <c r="Z1638" s="540"/>
    </row>
    <row r="1639" spans="1:26" ht="19">
      <c r="A1639" s="631"/>
      <c r="B1639" s="631"/>
      <c r="C1639" s="631"/>
      <c r="D1639" s="832"/>
      <c r="E1639" s="631"/>
      <c r="F1639" s="631"/>
      <c r="G1639" s="631"/>
      <c r="H1639" s="833"/>
      <c r="I1639" s="834"/>
      <c r="J1639" s="834"/>
      <c r="K1639" s="835"/>
      <c r="L1639" s="835"/>
      <c r="M1639" s="835"/>
      <c r="N1639" s="835"/>
      <c r="O1639" s="835"/>
      <c r="P1639" s="835"/>
      <c r="Q1639" s="540"/>
      <c r="R1639" s="540"/>
      <c r="S1639" s="540"/>
      <c r="T1639" s="540"/>
      <c r="U1639" s="540"/>
      <c r="V1639" s="540"/>
      <c r="W1639" s="540"/>
      <c r="X1639" s="540"/>
      <c r="Y1639" s="540"/>
      <c r="Z1639" s="540"/>
    </row>
    <row r="1640" spans="1:26" ht="19">
      <c r="A1640" s="631"/>
      <c r="B1640" s="631"/>
      <c r="C1640" s="631"/>
      <c r="D1640" s="832"/>
      <c r="E1640" s="631"/>
      <c r="F1640" s="631"/>
      <c r="G1640" s="631"/>
      <c r="H1640" s="833"/>
      <c r="I1640" s="834"/>
      <c r="J1640" s="834"/>
      <c r="K1640" s="835"/>
      <c r="L1640" s="835"/>
      <c r="M1640" s="835"/>
      <c r="N1640" s="835"/>
      <c r="O1640" s="835"/>
      <c r="P1640" s="835"/>
      <c r="Q1640" s="540"/>
      <c r="R1640" s="540"/>
      <c r="S1640" s="540"/>
      <c r="T1640" s="540"/>
      <c r="U1640" s="540"/>
      <c r="V1640" s="540"/>
      <c r="W1640" s="540"/>
      <c r="X1640" s="540"/>
      <c r="Y1640" s="540"/>
      <c r="Z1640" s="540"/>
    </row>
    <row r="1641" spans="1:26" ht="19">
      <c r="A1641" s="631"/>
      <c r="B1641" s="631"/>
      <c r="C1641" s="631"/>
      <c r="D1641" s="832"/>
      <c r="E1641" s="631"/>
      <c r="F1641" s="631"/>
      <c r="G1641" s="631"/>
      <c r="H1641" s="833"/>
      <c r="I1641" s="834"/>
      <c r="J1641" s="834"/>
      <c r="K1641" s="835"/>
      <c r="L1641" s="835"/>
      <c r="M1641" s="835"/>
      <c r="N1641" s="835"/>
      <c r="O1641" s="835"/>
      <c r="P1641" s="835"/>
      <c r="Q1641" s="540"/>
      <c r="R1641" s="540"/>
      <c r="S1641" s="540"/>
      <c r="T1641" s="540"/>
      <c r="U1641" s="540"/>
      <c r="V1641" s="540"/>
      <c r="W1641" s="540"/>
      <c r="X1641" s="540"/>
      <c r="Y1641" s="540"/>
      <c r="Z1641" s="540"/>
    </row>
    <row r="1642" spans="1:26" ht="19">
      <c r="A1642" s="631"/>
      <c r="B1642" s="631"/>
      <c r="C1642" s="631"/>
      <c r="D1642" s="832"/>
      <c r="E1642" s="631"/>
      <c r="F1642" s="631"/>
      <c r="G1642" s="631"/>
      <c r="H1642" s="833"/>
      <c r="I1642" s="834"/>
      <c r="J1642" s="834"/>
      <c r="K1642" s="835"/>
      <c r="L1642" s="835"/>
      <c r="M1642" s="835"/>
      <c r="N1642" s="835"/>
      <c r="O1642" s="835"/>
      <c r="P1642" s="835"/>
      <c r="Q1642" s="540"/>
      <c r="R1642" s="540"/>
      <c r="S1642" s="540"/>
      <c r="T1642" s="540"/>
      <c r="U1642" s="540"/>
      <c r="V1642" s="540"/>
      <c r="W1642" s="540"/>
      <c r="X1642" s="540"/>
      <c r="Y1642" s="540"/>
      <c r="Z1642" s="540"/>
    </row>
    <row r="1643" spans="1:26" ht="19">
      <c r="A1643" s="631"/>
      <c r="B1643" s="631"/>
      <c r="C1643" s="631"/>
      <c r="D1643" s="832"/>
      <c r="E1643" s="631"/>
      <c r="F1643" s="631"/>
      <c r="G1643" s="631"/>
      <c r="H1643" s="833"/>
      <c r="I1643" s="834"/>
      <c r="J1643" s="834"/>
      <c r="K1643" s="835"/>
      <c r="L1643" s="835"/>
      <c r="M1643" s="835"/>
      <c r="N1643" s="835"/>
      <c r="O1643" s="835"/>
      <c r="P1643" s="835"/>
      <c r="Q1643" s="540"/>
      <c r="R1643" s="540"/>
      <c r="S1643" s="540"/>
      <c r="T1643" s="540"/>
      <c r="U1643" s="540"/>
      <c r="V1643" s="540"/>
      <c r="W1643" s="540"/>
      <c r="X1643" s="540"/>
      <c r="Y1643" s="540"/>
      <c r="Z1643" s="540"/>
    </row>
    <row r="1644" spans="1:26" ht="19">
      <c r="A1644" s="631"/>
      <c r="B1644" s="631"/>
      <c r="C1644" s="631"/>
      <c r="D1644" s="832"/>
      <c r="E1644" s="631"/>
      <c r="F1644" s="631"/>
      <c r="G1644" s="631"/>
      <c r="H1644" s="833"/>
      <c r="I1644" s="834"/>
      <c r="J1644" s="834"/>
      <c r="K1644" s="835"/>
      <c r="L1644" s="835"/>
      <c r="M1644" s="835"/>
      <c r="N1644" s="835"/>
      <c r="O1644" s="835"/>
      <c r="P1644" s="835"/>
      <c r="Q1644" s="540"/>
      <c r="R1644" s="540"/>
      <c r="S1644" s="540"/>
      <c r="T1644" s="540"/>
      <c r="U1644" s="540"/>
      <c r="V1644" s="540"/>
      <c r="W1644" s="540"/>
      <c r="X1644" s="540"/>
      <c r="Y1644" s="540"/>
      <c r="Z1644" s="540"/>
    </row>
    <row r="1645" spans="1:26" ht="19">
      <c r="A1645" s="631"/>
      <c r="B1645" s="631"/>
      <c r="C1645" s="631"/>
      <c r="D1645" s="832"/>
      <c r="E1645" s="631"/>
      <c r="F1645" s="631"/>
      <c r="G1645" s="631"/>
      <c r="H1645" s="833"/>
      <c r="I1645" s="834"/>
      <c r="J1645" s="834"/>
      <c r="K1645" s="835"/>
      <c r="L1645" s="835"/>
      <c r="M1645" s="835"/>
      <c r="N1645" s="835"/>
      <c r="O1645" s="835"/>
      <c r="P1645" s="835"/>
      <c r="Q1645" s="540"/>
      <c r="R1645" s="540"/>
      <c r="S1645" s="540"/>
      <c r="T1645" s="540"/>
      <c r="U1645" s="540"/>
      <c r="V1645" s="540"/>
      <c r="W1645" s="540"/>
      <c r="X1645" s="540"/>
      <c r="Y1645" s="540"/>
      <c r="Z1645" s="540"/>
    </row>
    <row r="1646" spans="1:26" ht="19">
      <c r="A1646" s="631"/>
      <c r="B1646" s="631"/>
      <c r="C1646" s="631"/>
      <c r="D1646" s="832"/>
      <c r="E1646" s="631"/>
      <c r="F1646" s="631"/>
      <c r="G1646" s="631"/>
      <c r="H1646" s="833"/>
      <c r="I1646" s="834"/>
      <c r="J1646" s="834"/>
      <c r="K1646" s="835"/>
      <c r="L1646" s="835"/>
      <c r="M1646" s="835"/>
      <c r="N1646" s="835"/>
      <c r="O1646" s="835"/>
      <c r="P1646" s="835"/>
      <c r="Q1646" s="540"/>
      <c r="R1646" s="540"/>
      <c r="S1646" s="540"/>
      <c r="T1646" s="540"/>
      <c r="U1646" s="540"/>
      <c r="V1646" s="540"/>
      <c r="W1646" s="540"/>
      <c r="X1646" s="540"/>
      <c r="Y1646" s="540"/>
      <c r="Z1646" s="540"/>
    </row>
    <row r="1647" spans="1:26" ht="19">
      <c r="A1647" s="631"/>
      <c r="B1647" s="631"/>
      <c r="C1647" s="631"/>
      <c r="D1647" s="832"/>
      <c r="E1647" s="631"/>
      <c r="F1647" s="631"/>
      <c r="G1647" s="631"/>
      <c r="H1647" s="833"/>
      <c r="I1647" s="834"/>
      <c r="J1647" s="834"/>
      <c r="K1647" s="835"/>
      <c r="L1647" s="835"/>
      <c r="M1647" s="835"/>
      <c r="N1647" s="835"/>
      <c r="O1647" s="835"/>
      <c r="P1647" s="835"/>
      <c r="Q1647" s="540"/>
      <c r="R1647" s="540"/>
      <c r="S1647" s="540"/>
      <c r="T1647" s="540"/>
      <c r="U1647" s="540"/>
      <c r="V1647" s="540"/>
      <c r="W1647" s="540"/>
      <c r="X1647" s="540"/>
      <c r="Y1647" s="540"/>
      <c r="Z1647" s="540"/>
    </row>
    <row r="1648" spans="1:26" ht="19">
      <c r="A1648" s="631"/>
      <c r="B1648" s="631"/>
      <c r="C1648" s="631"/>
      <c r="D1648" s="832"/>
      <c r="E1648" s="631"/>
      <c r="F1648" s="631"/>
      <c r="G1648" s="631"/>
      <c r="H1648" s="833"/>
      <c r="I1648" s="834"/>
      <c r="J1648" s="834"/>
      <c r="K1648" s="835"/>
      <c r="L1648" s="835"/>
      <c r="M1648" s="835"/>
      <c r="N1648" s="835"/>
      <c r="O1648" s="835"/>
      <c r="P1648" s="835"/>
      <c r="Q1648" s="540"/>
      <c r="R1648" s="540"/>
      <c r="S1648" s="540"/>
      <c r="T1648" s="540"/>
      <c r="U1648" s="540"/>
      <c r="V1648" s="540"/>
      <c r="W1648" s="540"/>
      <c r="X1648" s="540"/>
      <c r="Y1648" s="540"/>
      <c r="Z1648" s="540"/>
    </row>
    <row r="1649" spans="1:26" ht="19">
      <c r="A1649" s="631"/>
      <c r="B1649" s="631"/>
      <c r="C1649" s="631"/>
      <c r="D1649" s="832"/>
      <c r="E1649" s="631"/>
      <c r="F1649" s="631"/>
      <c r="G1649" s="631"/>
      <c r="H1649" s="833"/>
      <c r="I1649" s="834"/>
      <c r="J1649" s="834"/>
      <c r="K1649" s="835"/>
      <c r="L1649" s="835"/>
      <c r="M1649" s="835"/>
      <c r="N1649" s="835"/>
      <c r="O1649" s="835"/>
      <c r="P1649" s="835"/>
      <c r="Q1649" s="540"/>
      <c r="R1649" s="540"/>
      <c r="S1649" s="540"/>
      <c r="T1649" s="540"/>
      <c r="U1649" s="540"/>
      <c r="V1649" s="540"/>
      <c r="W1649" s="540"/>
      <c r="X1649" s="540"/>
      <c r="Y1649" s="540"/>
      <c r="Z1649" s="540"/>
    </row>
    <row r="1650" spans="1:26" ht="19">
      <c r="A1650" s="631"/>
      <c r="B1650" s="631"/>
      <c r="C1650" s="631"/>
      <c r="D1650" s="832"/>
      <c r="E1650" s="631"/>
      <c r="F1650" s="631"/>
      <c r="G1650" s="631"/>
      <c r="H1650" s="833"/>
      <c r="I1650" s="834"/>
      <c r="J1650" s="834"/>
      <c r="K1650" s="835"/>
      <c r="L1650" s="835"/>
      <c r="M1650" s="835"/>
      <c r="N1650" s="835"/>
      <c r="O1650" s="835"/>
      <c r="P1650" s="835"/>
      <c r="Q1650" s="540"/>
      <c r="R1650" s="540"/>
      <c r="S1650" s="540"/>
      <c r="T1650" s="540"/>
      <c r="U1650" s="540"/>
      <c r="V1650" s="540"/>
      <c r="W1650" s="540"/>
      <c r="X1650" s="540"/>
      <c r="Y1650" s="540"/>
      <c r="Z1650" s="540"/>
    </row>
    <row r="1651" spans="1:26" ht="19">
      <c r="A1651" s="631"/>
      <c r="B1651" s="631"/>
      <c r="C1651" s="631"/>
      <c r="D1651" s="832"/>
      <c r="E1651" s="631"/>
      <c r="F1651" s="631"/>
      <c r="G1651" s="631"/>
      <c r="H1651" s="833"/>
      <c r="I1651" s="834"/>
      <c r="J1651" s="834"/>
      <c r="K1651" s="835"/>
      <c r="L1651" s="835"/>
      <c r="M1651" s="835"/>
      <c r="N1651" s="835"/>
      <c r="O1651" s="835"/>
      <c r="P1651" s="835"/>
      <c r="Q1651" s="540"/>
      <c r="R1651" s="540"/>
      <c r="S1651" s="540"/>
      <c r="T1651" s="540"/>
      <c r="U1651" s="540"/>
      <c r="V1651" s="540"/>
      <c r="W1651" s="540"/>
      <c r="X1651" s="540"/>
      <c r="Y1651" s="540"/>
      <c r="Z1651" s="540"/>
    </row>
    <row r="1652" spans="1:26" ht="19">
      <c r="A1652" s="631"/>
      <c r="B1652" s="631"/>
      <c r="C1652" s="631"/>
      <c r="D1652" s="832"/>
      <c r="E1652" s="631"/>
      <c r="F1652" s="631"/>
      <c r="G1652" s="631"/>
      <c r="H1652" s="833"/>
      <c r="I1652" s="834"/>
      <c r="J1652" s="834"/>
      <c r="K1652" s="835"/>
      <c r="L1652" s="835"/>
      <c r="M1652" s="835"/>
      <c r="N1652" s="835"/>
      <c r="O1652" s="835"/>
      <c r="P1652" s="835"/>
      <c r="Q1652" s="540"/>
      <c r="R1652" s="540"/>
      <c r="S1652" s="540"/>
      <c r="T1652" s="540"/>
      <c r="U1652" s="540"/>
      <c r="V1652" s="540"/>
      <c r="W1652" s="540"/>
      <c r="X1652" s="540"/>
      <c r="Y1652" s="540"/>
      <c r="Z1652" s="540"/>
    </row>
    <row r="1653" spans="1:26" ht="19">
      <c r="A1653" s="631"/>
      <c r="B1653" s="631"/>
      <c r="C1653" s="631"/>
      <c r="D1653" s="832"/>
      <c r="E1653" s="631"/>
      <c r="F1653" s="631"/>
      <c r="G1653" s="631"/>
      <c r="H1653" s="833"/>
      <c r="I1653" s="834"/>
      <c r="J1653" s="834"/>
      <c r="K1653" s="835"/>
      <c r="L1653" s="835"/>
      <c r="M1653" s="835"/>
      <c r="N1653" s="835"/>
      <c r="O1653" s="835"/>
      <c r="P1653" s="835"/>
      <c r="Q1653" s="540"/>
      <c r="R1653" s="540"/>
      <c r="S1653" s="540"/>
      <c r="T1653" s="540"/>
      <c r="U1653" s="540"/>
      <c r="V1653" s="540"/>
      <c r="W1653" s="540"/>
      <c r="X1653" s="540"/>
      <c r="Y1653" s="540"/>
      <c r="Z1653" s="540"/>
    </row>
    <row r="1654" spans="1:26" ht="19">
      <c r="A1654" s="631"/>
      <c r="B1654" s="631"/>
      <c r="C1654" s="631"/>
      <c r="D1654" s="832"/>
      <c r="E1654" s="631"/>
      <c r="F1654" s="631"/>
      <c r="G1654" s="631"/>
      <c r="H1654" s="833"/>
      <c r="I1654" s="834"/>
      <c r="J1654" s="834"/>
      <c r="K1654" s="835"/>
      <c r="L1654" s="835"/>
      <c r="M1654" s="835"/>
      <c r="N1654" s="835"/>
      <c r="O1654" s="835"/>
      <c r="P1654" s="835"/>
      <c r="Q1654" s="540"/>
      <c r="R1654" s="540"/>
      <c r="S1654" s="540"/>
      <c r="T1654" s="540"/>
      <c r="U1654" s="540"/>
      <c r="V1654" s="540"/>
      <c r="W1654" s="540"/>
      <c r="X1654" s="540"/>
      <c r="Y1654" s="540"/>
      <c r="Z1654" s="540"/>
    </row>
    <row r="1655" spans="1:26" ht="19">
      <c r="A1655" s="631"/>
      <c r="B1655" s="631"/>
      <c r="C1655" s="631"/>
      <c r="D1655" s="832"/>
      <c r="E1655" s="631"/>
      <c r="F1655" s="631"/>
      <c r="G1655" s="631"/>
      <c r="H1655" s="833"/>
      <c r="I1655" s="834"/>
      <c r="J1655" s="834"/>
      <c r="K1655" s="835"/>
      <c r="L1655" s="835"/>
      <c r="M1655" s="835"/>
      <c r="N1655" s="835"/>
      <c r="O1655" s="835"/>
      <c r="P1655" s="835"/>
      <c r="Q1655" s="540"/>
      <c r="R1655" s="540"/>
      <c r="S1655" s="540"/>
      <c r="T1655" s="540"/>
      <c r="U1655" s="540"/>
      <c r="V1655" s="540"/>
      <c r="W1655" s="540"/>
      <c r="X1655" s="540"/>
      <c r="Y1655" s="540"/>
      <c r="Z1655" s="540"/>
    </row>
    <row r="1656" spans="1:26" ht="19">
      <c r="A1656" s="631"/>
      <c r="B1656" s="631"/>
      <c r="C1656" s="631"/>
      <c r="D1656" s="832"/>
      <c r="E1656" s="631"/>
      <c r="F1656" s="631"/>
      <c r="G1656" s="631"/>
      <c r="H1656" s="833"/>
      <c r="I1656" s="834"/>
      <c r="J1656" s="834"/>
      <c r="K1656" s="835"/>
      <c r="L1656" s="835"/>
      <c r="M1656" s="835"/>
      <c r="N1656" s="835"/>
      <c r="O1656" s="835"/>
      <c r="P1656" s="835"/>
      <c r="Q1656" s="540"/>
      <c r="R1656" s="540"/>
      <c r="S1656" s="540"/>
      <c r="T1656" s="540"/>
      <c r="U1656" s="540"/>
      <c r="V1656" s="540"/>
      <c r="W1656" s="540"/>
      <c r="X1656" s="540"/>
      <c r="Y1656" s="540"/>
      <c r="Z1656" s="540"/>
    </row>
    <row r="1657" spans="1:26" ht="19">
      <c r="A1657" s="631"/>
      <c r="B1657" s="631"/>
      <c r="C1657" s="631"/>
      <c r="D1657" s="832"/>
      <c r="E1657" s="631"/>
      <c r="F1657" s="631"/>
      <c r="G1657" s="631"/>
      <c r="H1657" s="833"/>
      <c r="I1657" s="834"/>
      <c r="J1657" s="834"/>
      <c r="K1657" s="835"/>
      <c r="L1657" s="835"/>
      <c r="M1657" s="835"/>
      <c r="N1657" s="835"/>
      <c r="O1657" s="835"/>
      <c r="P1657" s="835"/>
      <c r="Q1657" s="540"/>
      <c r="R1657" s="540"/>
      <c r="S1657" s="540"/>
      <c r="T1657" s="540"/>
      <c r="U1657" s="540"/>
      <c r="V1657" s="540"/>
      <c r="W1657" s="540"/>
      <c r="X1657" s="540"/>
      <c r="Y1657" s="540"/>
      <c r="Z1657" s="540"/>
    </row>
    <row r="1658" spans="1:26" ht="19">
      <c r="A1658" s="631"/>
      <c r="B1658" s="631"/>
      <c r="C1658" s="631"/>
      <c r="D1658" s="832"/>
      <c r="E1658" s="631"/>
      <c r="F1658" s="631"/>
      <c r="G1658" s="631"/>
      <c r="H1658" s="833"/>
      <c r="I1658" s="834"/>
      <c r="J1658" s="834"/>
      <c r="K1658" s="835"/>
      <c r="L1658" s="835"/>
      <c r="M1658" s="835"/>
      <c r="N1658" s="835"/>
      <c r="O1658" s="835"/>
      <c r="P1658" s="835"/>
      <c r="Q1658" s="540"/>
      <c r="R1658" s="540"/>
      <c r="S1658" s="540"/>
      <c r="T1658" s="540"/>
      <c r="U1658" s="540"/>
      <c r="V1658" s="540"/>
      <c r="W1658" s="540"/>
      <c r="X1658" s="540"/>
      <c r="Y1658" s="540"/>
      <c r="Z1658" s="540"/>
    </row>
    <row r="1659" spans="1:26" ht="19">
      <c r="A1659" s="631"/>
      <c r="B1659" s="631"/>
      <c r="C1659" s="631"/>
      <c r="D1659" s="832"/>
      <c r="E1659" s="631"/>
      <c r="F1659" s="631"/>
      <c r="G1659" s="631"/>
      <c r="H1659" s="833"/>
      <c r="I1659" s="834"/>
      <c r="J1659" s="834"/>
      <c r="K1659" s="835"/>
      <c r="L1659" s="835"/>
      <c r="M1659" s="835"/>
      <c r="N1659" s="835"/>
      <c r="O1659" s="835"/>
      <c r="P1659" s="835"/>
      <c r="Q1659" s="540"/>
      <c r="R1659" s="540"/>
      <c r="S1659" s="540"/>
      <c r="T1659" s="540"/>
      <c r="U1659" s="540"/>
      <c r="V1659" s="540"/>
      <c r="W1659" s="540"/>
      <c r="X1659" s="540"/>
      <c r="Y1659" s="540"/>
      <c r="Z1659" s="540"/>
    </row>
    <row r="1660" spans="1:26" ht="19">
      <c r="A1660" s="631"/>
      <c r="B1660" s="631"/>
      <c r="C1660" s="631"/>
      <c r="D1660" s="832"/>
      <c r="E1660" s="631"/>
      <c r="F1660" s="631"/>
      <c r="G1660" s="631"/>
      <c r="H1660" s="833"/>
      <c r="I1660" s="834"/>
      <c r="J1660" s="834"/>
      <c r="K1660" s="835"/>
      <c r="L1660" s="835"/>
      <c r="M1660" s="835"/>
      <c r="N1660" s="835"/>
      <c r="O1660" s="835"/>
      <c r="P1660" s="835"/>
      <c r="Q1660" s="540"/>
      <c r="R1660" s="540"/>
      <c r="S1660" s="540"/>
      <c r="T1660" s="540"/>
      <c r="U1660" s="540"/>
      <c r="V1660" s="540"/>
      <c r="W1660" s="540"/>
      <c r="X1660" s="540"/>
      <c r="Y1660" s="540"/>
      <c r="Z1660" s="540"/>
    </row>
    <row r="1661" spans="1:26" ht="19">
      <c r="A1661" s="631"/>
      <c r="B1661" s="631"/>
      <c r="C1661" s="631"/>
      <c r="D1661" s="832"/>
      <c r="E1661" s="631"/>
      <c r="F1661" s="631"/>
      <c r="G1661" s="631"/>
      <c r="H1661" s="833"/>
      <c r="I1661" s="834"/>
      <c r="J1661" s="834"/>
      <c r="K1661" s="835"/>
      <c r="L1661" s="835"/>
      <c r="M1661" s="835"/>
      <c r="N1661" s="835"/>
      <c r="O1661" s="835"/>
      <c r="P1661" s="835"/>
      <c r="Q1661" s="540"/>
      <c r="R1661" s="540"/>
      <c r="S1661" s="540"/>
      <c r="T1661" s="540"/>
      <c r="U1661" s="540"/>
      <c r="V1661" s="540"/>
      <c r="W1661" s="540"/>
      <c r="X1661" s="540"/>
      <c r="Y1661" s="540"/>
      <c r="Z1661" s="540"/>
    </row>
    <row r="1662" spans="1:26" ht="19">
      <c r="A1662" s="631"/>
      <c r="B1662" s="631"/>
      <c r="C1662" s="631"/>
      <c r="D1662" s="832"/>
      <c r="E1662" s="631"/>
      <c r="F1662" s="631"/>
      <c r="G1662" s="631"/>
      <c r="H1662" s="833"/>
      <c r="I1662" s="834"/>
      <c r="J1662" s="834"/>
      <c r="K1662" s="835"/>
      <c r="L1662" s="835"/>
      <c r="M1662" s="835"/>
      <c r="N1662" s="835"/>
      <c r="O1662" s="835"/>
      <c r="P1662" s="835"/>
      <c r="Q1662" s="540"/>
      <c r="R1662" s="540"/>
      <c r="S1662" s="540"/>
      <c r="T1662" s="540"/>
      <c r="U1662" s="540"/>
      <c r="V1662" s="540"/>
      <c r="W1662" s="540"/>
      <c r="X1662" s="540"/>
      <c r="Y1662" s="540"/>
      <c r="Z1662" s="540"/>
    </row>
    <row r="1663" spans="1:26" ht="19">
      <c r="A1663" s="631"/>
      <c r="B1663" s="631"/>
      <c r="C1663" s="631"/>
      <c r="D1663" s="832"/>
      <c r="E1663" s="631"/>
      <c r="F1663" s="631"/>
      <c r="G1663" s="631"/>
      <c r="H1663" s="833"/>
      <c r="I1663" s="834"/>
      <c r="J1663" s="834"/>
      <c r="K1663" s="835"/>
      <c r="L1663" s="835"/>
      <c r="M1663" s="835"/>
      <c r="N1663" s="835"/>
      <c r="O1663" s="835"/>
      <c r="P1663" s="835"/>
      <c r="Q1663" s="540"/>
      <c r="R1663" s="540"/>
      <c r="S1663" s="540"/>
      <c r="T1663" s="540"/>
      <c r="U1663" s="540"/>
      <c r="V1663" s="540"/>
      <c r="W1663" s="540"/>
      <c r="X1663" s="540"/>
      <c r="Y1663" s="540"/>
      <c r="Z1663" s="540"/>
    </row>
    <row r="1664" spans="1:26" ht="19">
      <c r="A1664" s="631"/>
      <c r="B1664" s="631"/>
      <c r="C1664" s="631"/>
      <c r="D1664" s="832"/>
      <c r="E1664" s="631"/>
      <c r="F1664" s="631"/>
      <c r="G1664" s="631"/>
      <c r="H1664" s="833"/>
      <c r="I1664" s="834"/>
      <c r="J1664" s="834"/>
      <c r="K1664" s="835"/>
      <c r="L1664" s="835"/>
      <c r="M1664" s="835"/>
      <c r="N1664" s="835"/>
      <c r="O1664" s="835"/>
      <c r="P1664" s="835"/>
      <c r="Q1664" s="540"/>
      <c r="R1664" s="540"/>
      <c r="S1664" s="540"/>
      <c r="T1664" s="540"/>
      <c r="U1664" s="540"/>
      <c r="V1664" s="540"/>
      <c r="W1664" s="540"/>
      <c r="X1664" s="540"/>
      <c r="Y1664" s="540"/>
      <c r="Z1664" s="540"/>
    </row>
    <row r="1665" spans="1:26" ht="19">
      <c r="A1665" s="631"/>
      <c r="B1665" s="631"/>
      <c r="C1665" s="631"/>
      <c r="D1665" s="832"/>
      <c r="E1665" s="631"/>
      <c r="F1665" s="631"/>
      <c r="G1665" s="631"/>
      <c r="H1665" s="833"/>
      <c r="I1665" s="834"/>
      <c r="J1665" s="834"/>
      <c r="K1665" s="835"/>
      <c r="L1665" s="835"/>
      <c r="M1665" s="835"/>
      <c r="N1665" s="835"/>
      <c r="O1665" s="835"/>
      <c r="P1665" s="835"/>
      <c r="Q1665" s="540"/>
      <c r="R1665" s="540"/>
      <c r="S1665" s="540"/>
      <c r="T1665" s="540"/>
      <c r="U1665" s="540"/>
      <c r="V1665" s="540"/>
      <c r="W1665" s="540"/>
      <c r="X1665" s="540"/>
      <c r="Y1665" s="540"/>
      <c r="Z1665" s="540"/>
    </row>
    <row r="1666" spans="1:26" ht="19">
      <c r="A1666" s="631"/>
      <c r="B1666" s="631"/>
      <c r="C1666" s="631"/>
      <c r="D1666" s="832"/>
      <c r="E1666" s="631"/>
      <c r="F1666" s="631"/>
      <c r="G1666" s="631"/>
      <c r="H1666" s="833"/>
      <c r="I1666" s="834"/>
      <c r="J1666" s="834"/>
      <c r="K1666" s="835"/>
      <c r="L1666" s="835"/>
      <c r="M1666" s="835"/>
      <c r="N1666" s="835"/>
      <c r="O1666" s="835"/>
      <c r="P1666" s="835"/>
      <c r="Q1666" s="540"/>
      <c r="R1666" s="540"/>
      <c r="S1666" s="540"/>
      <c r="T1666" s="540"/>
      <c r="U1666" s="540"/>
      <c r="V1666" s="540"/>
      <c r="W1666" s="540"/>
      <c r="X1666" s="540"/>
      <c r="Y1666" s="540"/>
      <c r="Z1666" s="540"/>
    </row>
    <row r="1667" spans="1:26" ht="19">
      <c r="A1667" s="631"/>
      <c r="B1667" s="631"/>
      <c r="C1667" s="631"/>
      <c r="D1667" s="832"/>
      <c r="E1667" s="631"/>
      <c r="F1667" s="631"/>
      <c r="G1667" s="631"/>
      <c r="H1667" s="833"/>
      <c r="I1667" s="834"/>
      <c r="J1667" s="834"/>
      <c r="K1667" s="835"/>
      <c r="L1667" s="835"/>
      <c r="M1667" s="835"/>
      <c r="N1667" s="835"/>
      <c r="O1667" s="835"/>
      <c r="P1667" s="835"/>
      <c r="Q1667" s="540"/>
      <c r="R1667" s="540"/>
      <c r="S1667" s="540"/>
      <c r="T1667" s="540"/>
      <c r="U1667" s="540"/>
      <c r="V1667" s="540"/>
      <c r="W1667" s="540"/>
      <c r="X1667" s="540"/>
      <c r="Y1667" s="540"/>
      <c r="Z1667" s="540"/>
    </row>
    <row r="1668" spans="1:26" ht="19">
      <c r="A1668" s="631"/>
      <c r="B1668" s="631"/>
      <c r="C1668" s="631"/>
      <c r="D1668" s="832"/>
      <c r="E1668" s="631"/>
      <c r="F1668" s="631"/>
      <c r="G1668" s="631"/>
      <c r="H1668" s="833"/>
      <c r="I1668" s="834"/>
      <c r="J1668" s="834"/>
      <c r="K1668" s="835"/>
      <c r="L1668" s="835"/>
      <c r="M1668" s="835"/>
      <c r="N1668" s="835"/>
      <c r="O1668" s="835"/>
      <c r="P1668" s="835"/>
      <c r="Q1668" s="540"/>
      <c r="R1668" s="540"/>
      <c r="S1668" s="540"/>
      <c r="T1668" s="540"/>
      <c r="U1668" s="540"/>
      <c r="V1668" s="540"/>
      <c r="W1668" s="540"/>
      <c r="X1668" s="540"/>
      <c r="Y1668" s="540"/>
      <c r="Z1668" s="540"/>
    </row>
    <row r="1669" spans="1:26" ht="19">
      <c r="A1669" s="631"/>
      <c r="B1669" s="631"/>
      <c r="C1669" s="631"/>
      <c r="D1669" s="832"/>
      <c r="E1669" s="631"/>
      <c r="F1669" s="631"/>
      <c r="G1669" s="631"/>
      <c r="H1669" s="833"/>
      <c r="I1669" s="834"/>
      <c r="J1669" s="834"/>
      <c r="K1669" s="835"/>
      <c r="L1669" s="835"/>
      <c r="M1669" s="835"/>
      <c r="N1669" s="835"/>
      <c r="O1669" s="835"/>
      <c r="P1669" s="835"/>
      <c r="Q1669" s="540"/>
      <c r="R1669" s="540"/>
      <c r="S1669" s="540"/>
      <c r="T1669" s="540"/>
      <c r="U1669" s="540"/>
      <c r="V1669" s="540"/>
      <c r="W1669" s="540"/>
      <c r="X1669" s="540"/>
      <c r="Y1669" s="540"/>
      <c r="Z1669" s="540"/>
    </row>
    <row r="1670" spans="1:26" ht="19">
      <c r="A1670" s="631"/>
      <c r="B1670" s="631"/>
      <c r="C1670" s="631"/>
      <c r="D1670" s="832"/>
      <c r="E1670" s="631"/>
      <c r="F1670" s="631"/>
      <c r="G1670" s="631"/>
      <c r="H1670" s="833"/>
      <c r="I1670" s="834"/>
      <c r="J1670" s="834"/>
      <c r="K1670" s="835"/>
      <c r="L1670" s="835"/>
      <c r="M1670" s="835"/>
      <c r="N1670" s="835"/>
      <c r="O1670" s="835"/>
      <c r="P1670" s="835"/>
      <c r="Q1670" s="540"/>
      <c r="R1670" s="540"/>
      <c r="S1670" s="540"/>
      <c r="T1670" s="540"/>
      <c r="U1670" s="540"/>
      <c r="V1670" s="540"/>
      <c r="W1670" s="540"/>
      <c r="X1670" s="540"/>
      <c r="Y1670" s="540"/>
      <c r="Z1670" s="540"/>
    </row>
    <row r="1671" spans="1:26" ht="19">
      <c r="A1671" s="631"/>
      <c r="B1671" s="631"/>
      <c r="C1671" s="631"/>
      <c r="D1671" s="832"/>
      <c r="E1671" s="631"/>
      <c r="F1671" s="631"/>
      <c r="G1671" s="631"/>
      <c r="H1671" s="833"/>
      <c r="I1671" s="834"/>
      <c r="J1671" s="834"/>
      <c r="K1671" s="835"/>
      <c r="L1671" s="835"/>
      <c r="M1671" s="835"/>
      <c r="N1671" s="835"/>
      <c r="O1671" s="835"/>
      <c r="P1671" s="835"/>
      <c r="Q1671" s="540"/>
      <c r="R1671" s="540"/>
      <c r="S1671" s="540"/>
      <c r="T1671" s="540"/>
      <c r="U1671" s="540"/>
      <c r="V1671" s="540"/>
      <c r="W1671" s="540"/>
      <c r="X1671" s="540"/>
      <c r="Y1671" s="540"/>
      <c r="Z1671" s="540"/>
    </row>
    <row r="1672" spans="1:26" ht="19">
      <c r="A1672" s="631"/>
      <c r="B1672" s="631"/>
      <c r="C1672" s="631"/>
      <c r="D1672" s="832"/>
      <c r="E1672" s="631"/>
      <c r="F1672" s="631"/>
      <c r="G1672" s="631"/>
      <c r="H1672" s="833"/>
      <c r="I1672" s="834"/>
      <c r="J1672" s="834"/>
      <c r="K1672" s="835"/>
      <c r="L1672" s="835"/>
      <c r="M1672" s="835"/>
      <c r="N1672" s="835"/>
      <c r="O1672" s="835"/>
      <c r="P1672" s="835"/>
      <c r="Q1672" s="540"/>
      <c r="R1672" s="540"/>
      <c r="S1672" s="540"/>
      <c r="T1672" s="540"/>
      <c r="U1672" s="540"/>
      <c r="V1672" s="540"/>
      <c r="W1672" s="540"/>
      <c r="X1672" s="540"/>
      <c r="Y1672" s="540"/>
      <c r="Z1672" s="540"/>
    </row>
    <row r="1673" spans="1:26" ht="19">
      <c r="A1673" s="631"/>
      <c r="B1673" s="631"/>
      <c r="C1673" s="631"/>
      <c r="D1673" s="832"/>
      <c r="E1673" s="631"/>
      <c r="F1673" s="631"/>
      <c r="G1673" s="631"/>
      <c r="H1673" s="833"/>
      <c r="I1673" s="834"/>
      <c r="J1673" s="834"/>
      <c r="K1673" s="835"/>
      <c r="L1673" s="835"/>
      <c r="M1673" s="835"/>
      <c r="N1673" s="835"/>
      <c r="O1673" s="835"/>
      <c r="P1673" s="835"/>
      <c r="Q1673" s="540"/>
      <c r="R1673" s="540"/>
      <c r="S1673" s="540"/>
      <c r="T1673" s="540"/>
      <c r="U1673" s="540"/>
      <c r="V1673" s="540"/>
      <c r="W1673" s="540"/>
      <c r="X1673" s="540"/>
      <c r="Y1673" s="540"/>
      <c r="Z1673" s="540"/>
    </row>
    <row r="1674" spans="1:26" ht="19">
      <c r="A1674" s="631"/>
      <c r="B1674" s="631"/>
      <c r="C1674" s="631"/>
      <c r="D1674" s="832"/>
      <c r="E1674" s="631"/>
      <c r="F1674" s="631"/>
      <c r="G1674" s="631"/>
      <c r="H1674" s="833"/>
      <c r="I1674" s="834"/>
      <c r="J1674" s="834"/>
      <c r="K1674" s="835"/>
      <c r="L1674" s="835"/>
      <c r="M1674" s="835"/>
      <c r="N1674" s="835"/>
      <c r="O1674" s="835"/>
      <c r="P1674" s="835"/>
      <c r="Q1674" s="540"/>
      <c r="R1674" s="540"/>
      <c r="S1674" s="540"/>
      <c r="T1674" s="540"/>
      <c r="U1674" s="540"/>
      <c r="V1674" s="540"/>
      <c r="W1674" s="540"/>
      <c r="X1674" s="540"/>
      <c r="Y1674" s="540"/>
      <c r="Z1674" s="540"/>
    </row>
    <row r="1675" spans="1:26" ht="19">
      <c r="A1675" s="631"/>
      <c r="B1675" s="631"/>
      <c r="C1675" s="631"/>
      <c r="D1675" s="832"/>
      <c r="E1675" s="631"/>
      <c r="F1675" s="631"/>
      <c r="G1675" s="631"/>
      <c r="H1675" s="833"/>
      <c r="I1675" s="834"/>
      <c r="J1675" s="834"/>
      <c r="K1675" s="835"/>
      <c r="L1675" s="835"/>
      <c r="M1675" s="835"/>
      <c r="N1675" s="835"/>
      <c r="O1675" s="835"/>
      <c r="P1675" s="835"/>
      <c r="Q1675" s="540"/>
      <c r="R1675" s="540"/>
      <c r="S1675" s="540"/>
      <c r="T1675" s="540"/>
      <c r="U1675" s="540"/>
      <c r="V1675" s="540"/>
      <c r="W1675" s="540"/>
      <c r="X1675" s="540"/>
      <c r="Y1675" s="540"/>
      <c r="Z1675" s="540"/>
    </row>
    <row r="1676" spans="1:26" ht="19">
      <c r="A1676" s="631"/>
      <c r="B1676" s="631"/>
      <c r="C1676" s="631"/>
      <c r="D1676" s="832"/>
      <c r="E1676" s="631"/>
      <c r="F1676" s="631"/>
      <c r="G1676" s="631"/>
      <c r="H1676" s="833"/>
      <c r="I1676" s="834"/>
      <c r="J1676" s="834"/>
      <c r="K1676" s="835"/>
      <c r="L1676" s="835"/>
      <c r="M1676" s="835"/>
      <c r="N1676" s="835"/>
      <c r="O1676" s="835"/>
      <c r="P1676" s="835"/>
      <c r="Q1676" s="540"/>
      <c r="R1676" s="540"/>
      <c r="S1676" s="540"/>
      <c r="T1676" s="540"/>
      <c r="U1676" s="540"/>
      <c r="V1676" s="540"/>
      <c r="W1676" s="540"/>
      <c r="X1676" s="540"/>
      <c r="Y1676" s="540"/>
      <c r="Z1676" s="540"/>
    </row>
    <row r="1677" spans="1:26" ht="19">
      <c r="A1677" s="631"/>
      <c r="B1677" s="631"/>
      <c r="C1677" s="631"/>
      <c r="D1677" s="832"/>
      <c r="E1677" s="631"/>
      <c r="F1677" s="631"/>
      <c r="G1677" s="631"/>
      <c r="H1677" s="833"/>
      <c r="I1677" s="834"/>
      <c r="J1677" s="834"/>
      <c r="K1677" s="835"/>
      <c r="L1677" s="835"/>
      <c r="M1677" s="835"/>
      <c r="N1677" s="835"/>
      <c r="O1677" s="835"/>
      <c r="P1677" s="835"/>
      <c r="Q1677" s="540"/>
      <c r="R1677" s="540"/>
      <c r="S1677" s="540"/>
      <c r="T1677" s="540"/>
      <c r="U1677" s="540"/>
      <c r="V1677" s="540"/>
      <c r="W1677" s="540"/>
      <c r="X1677" s="540"/>
      <c r="Y1677" s="540"/>
      <c r="Z1677" s="540"/>
    </row>
    <row r="1678" spans="1:26" ht="19">
      <c r="A1678" s="631"/>
      <c r="B1678" s="631"/>
      <c r="C1678" s="631"/>
      <c r="D1678" s="832"/>
      <c r="E1678" s="631"/>
      <c r="F1678" s="631"/>
      <c r="G1678" s="631"/>
      <c r="H1678" s="833"/>
      <c r="I1678" s="834"/>
      <c r="J1678" s="834"/>
      <c r="K1678" s="835"/>
      <c r="L1678" s="835"/>
      <c r="M1678" s="835"/>
      <c r="N1678" s="835"/>
      <c r="O1678" s="835"/>
      <c r="P1678" s="835"/>
      <c r="Q1678" s="540"/>
      <c r="R1678" s="540"/>
      <c r="S1678" s="540"/>
      <c r="T1678" s="540"/>
      <c r="U1678" s="540"/>
      <c r="V1678" s="540"/>
      <c r="W1678" s="540"/>
      <c r="X1678" s="540"/>
      <c r="Y1678" s="540"/>
      <c r="Z1678" s="540"/>
    </row>
    <row r="1679" spans="1:26" ht="19">
      <c r="A1679" s="631"/>
      <c r="B1679" s="631"/>
      <c r="C1679" s="631"/>
      <c r="D1679" s="832"/>
      <c r="E1679" s="631"/>
      <c r="F1679" s="631"/>
      <c r="G1679" s="631"/>
      <c r="H1679" s="833"/>
      <c r="I1679" s="834"/>
      <c r="J1679" s="834"/>
      <c r="K1679" s="835"/>
      <c r="L1679" s="835"/>
      <c r="M1679" s="835"/>
      <c r="N1679" s="835"/>
      <c r="O1679" s="835"/>
      <c r="P1679" s="835"/>
      <c r="Q1679" s="540"/>
      <c r="R1679" s="540"/>
      <c r="S1679" s="540"/>
      <c r="T1679" s="540"/>
      <c r="U1679" s="540"/>
      <c r="V1679" s="540"/>
      <c r="W1679" s="540"/>
      <c r="X1679" s="540"/>
      <c r="Y1679" s="540"/>
      <c r="Z1679" s="540"/>
    </row>
    <row r="1680" spans="1:26" ht="19">
      <c r="A1680" s="631"/>
      <c r="B1680" s="631"/>
      <c r="C1680" s="631"/>
      <c r="D1680" s="832"/>
      <c r="E1680" s="631"/>
      <c r="F1680" s="631"/>
      <c r="G1680" s="631"/>
      <c r="H1680" s="833"/>
      <c r="I1680" s="834"/>
      <c r="J1680" s="834"/>
      <c r="K1680" s="835"/>
      <c r="L1680" s="835"/>
      <c r="M1680" s="835"/>
      <c r="N1680" s="835"/>
      <c r="O1680" s="835"/>
      <c r="P1680" s="835"/>
      <c r="Q1680" s="540"/>
      <c r="R1680" s="540"/>
      <c r="S1680" s="540"/>
      <c r="T1680" s="540"/>
      <c r="U1680" s="540"/>
      <c r="V1680" s="540"/>
      <c r="W1680" s="540"/>
      <c r="X1680" s="540"/>
      <c r="Y1680" s="540"/>
      <c r="Z1680" s="540"/>
    </row>
    <row r="1681" spans="1:26" ht="19">
      <c r="A1681" s="631"/>
      <c r="B1681" s="631"/>
      <c r="C1681" s="631"/>
      <c r="D1681" s="832"/>
      <c r="E1681" s="631"/>
      <c r="F1681" s="631"/>
      <c r="G1681" s="631"/>
      <c r="H1681" s="833"/>
      <c r="I1681" s="834"/>
      <c r="J1681" s="834"/>
      <c r="K1681" s="835"/>
      <c r="L1681" s="835"/>
      <c r="M1681" s="835"/>
      <c r="N1681" s="835"/>
      <c r="O1681" s="835"/>
      <c r="P1681" s="835"/>
      <c r="Q1681" s="540"/>
      <c r="R1681" s="540"/>
      <c r="S1681" s="540"/>
      <c r="T1681" s="540"/>
      <c r="U1681" s="540"/>
      <c r="V1681" s="540"/>
      <c r="W1681" s="540"/>
      <c r="X1681" s="540"/>
      <c r="Y1681" s="540"/>
      <c r="Z1681" s="540"/>
    </row>
    <row r="1682" spans="1:26" ht="19">
      <c r="A1682" s="631"/>
      <c r="B1682" s="631"/>
      <c r="C1682" s="631"/>
      <c r="D1682" s="832"/>
      <c r="E1682" s="631"/>
      <c r="F1682" s="631"/>
      <c r="G1682" s="631"/>
      <c r="H1682" s="833"/>
      <c r="I1682" s="834"/>
      <c r="J1682" s="834"/>
      <c r="K1682" s="835"/>
      <c r="L1682" s="835"/>
      <c r="M1682" s="835"/>
      <c r="N1682" s="835"/>
      <c r="O1682" s="835"/>
      <c r="P1682" s="835"/>
      <c r="Q1682" s="540"/>
      <c r="R1682" s="540"/>
      <c r="S1682" s="540"/>
      <c r="T1682" s="540"/>
      <c r="U1682" s="540"/>
      <c r="V1682" s="540"/>
      <c r="W1682" s="540"/>
      <c r="X1682" s="540"/>
      <c r="Y1682" s="540"/>
      <c r="Z1682" s="540"/>
    </row>
    <row r="1683" spans="1:26" ht="19">
      <c r="A1683" s="631"/>
      <c r="B1683" s="631"/>
      <c r="C1683" s="631"/>
      <c r="D1683" s="832"/>
      <c r="E1683" s="631"/>
      <c r="F1683" s="631"/>
      <c r="G1683" s="631"/>
      <c r="H1683" s="833"/>
      <c r="I1683" s="834"/>
      <c r="J1683" s="834"/>
      <c r="K1683" s="835"/>
      <c r="L1683" s="835"/>
      <c r="M1683" s="835"/>
      <c r="N1683" s="835"/>
      <c r="O1683" s="835"/>
      <c r="P1683" s="835"/>
      <c r="Q1683" s="540"/>
      <c r="R1683" s="540"/>
      <c r="S1683" s="540"/>
      <c r="T1683" s="540"/>
      <c r="U1683" s="540"/>
      <c r="V1683" s="540"/>
      <c r="W1683" s="540"/>
      <c r="X1683" s="540"/>
      <c r="Y1683" s="540"/>
      <c r="Z1683" s="540"/>
    </row>
    <row r="1684" spans="1:26" ht="19">
      <c r="A1684" s="631"/>
      <c r="B1684" s="631"/>
      <c r="C1684" s="631"/>
      <c r="D1684" s="832"/>
      <c r="E1684" s="631"/>
      <c r="F1684" s="631"/>
      <c r="G1684" s="631"/>
      <c r="H1684" s="833"/>
      <c r="I1684" s="834"/>
      <c r="J1684" s="834"/>
      <c r="K1684" s="835"/>
      <c r="L1684" s="835"/>
      <c r="M1684" s="835"/>
      <c r="N1684" s="835"/>
      <c r="O1684" s="835"/>
      <c r="P1684" s="835"/>
      <c r="Q1684" s="540"/>
      <c r="R1684" s="540"/>
      <c r="S1684" s="540"/>
      <c r="T1684" s="540"/>
      <c r="U1684" s="540"/>
      <c r="V1684" s="540"/>
      <c r="W1684" s="540"/>
      <c r="X1684" s="540"/>
      <c r="Y1684" s="540"/>
      <c r="Z1684" s="540"/>
    </row>
    <row r="1685" spans="1:26" ht="19">
      <c r="A1685" s="631"/>
      <c r="B1685" s="631"/>
      <c r="C1685" s="631"/>
      <c r="D1685" s="832"/>
      <c r="E1685" s="631"/>
      <c r="F1685" s="631"/>
      <c r="G1685" s="631"/>
      <c r="H1685" s="833"/>
      <c r="I1685" s="834"/>
      <c r="J1685" s="834"/>
      <c r="K1685" s="835"/>
      <c r="L1685" s="835"/>
      <c r="M1685" s="835"/>
      <c r="N1685" s="835"/>
      <c r="O1685" s="835"/>
      <c r="P1685" s="835"/>
      <c r="Q1685" s="540"/>
      <c r="R1685" s="540"/>
      <c r="S1685" s="540"/>
      <c r="T1685" s="540"/>
      <c r="U1685" s="540"/>
      <c r="V1685" s="540"/>
      <c r="W1685" s="540"/>
      <c r="X1685" s="540"/>
      <c r="Y1685" s="540"/>
      <c r="Z1685" s="540"/>
    </row>
    <row r="1686" spans="1:26" ht="19">
      <c r="A1686" s="631"/>
      <c r="B1686" s="631"/>
      <c r="C1686" s="631"/>
      <c r="D1686" s="832"/>
      <c r="E1686" s="631"/>
      <c r="F1686" s="631"/>
      <c r="G1686" s="631"/>
      <c r="H1686" s="833"/>
      <c r="I1686" s="834"/>
      <c r="J1686" s="834"/>
      <c r="K1686" s="835"/>
      <c r="L1686" s="835"/>
      <c r="M1686" s="835"/>
      <c r="N1686" s="835"/>
      <c r="O1686" s="835"/>
      <c r="P1686" s="835"/>
      <c r="Q1686" s="540"/>
      <c r="R1686" s="540"/>
      <c r="S1686" s="540"/>
      <c r="T1686" s="540"/>
      <c r="U1686" s="540"/>
      <c r="V1686" s="540"/>
      <c r="W1686" s="540"/>
      <c r="X1686" s="540"/>
      <c r="Y1686" s="540"/>
      <c r="Z1686" s="540"/>
    </row>
    <row r="1687" spans="1:26" ht="19">
      <c r="A1687" s="631"/>
      <c r="B1687" s="631"/>
      <c r="C1687" s="631"/>
      <c r="D1687" s="832"/>
      <c r="E1687" s="631"/>
      <c r="F1687" s="631"/>
      <c r="G1687" s="631"/>
      <c r="H1687" s="833"/>
      <c r="I1687" s="834"/>
      <c r="J1687" s="834"/>
      <c r="K1687" s="835"/>
      <c r="L1687" s="835"/>
      <c r="M1687" s="835"/>
      <c r="N1687" s="835"/>
      <c r="O1687" s="835"/>
      <c r="P1687" s="835"/>
      <c r="Q1687" s="540"/>
      <c r="R1687" s="540"/>
      <c r="S1687" s="540"/>
      <c r="T1687" s="540"/>
      <c r="U1687" s="540"/>
      <c r="V1687" s="540"/>
      <c r="W1687" s="540"/>
      <c r="X1687" s="540"/>
      <c r="Y1687" s="540"/>
      <c r="Z1687" s="540"/>
    </row>
    <row r="1688" spans="1:26" ht="19">
      <c r="A1688" s="631"/>
      <c r="B1688" s="631"/>
      <c r="C1688" s="631"/>
      <c r="D1688" s="832"/>
      <c r="E1688" s="631"/>
      <c r="F1688" s="631"/>
      <c r="G1688" s="631"/>
      <c r="H1688" s="833"/>
      <c r="I1688" s="834"/>
      <c r="J1688" s="834"/>
      <c r="K1688" s="835"/>
      <c r="L1688" s="835"/>
      <c r="M1688" s="835"/>
      <c r="N1688" s="835"/>
      <c r="O1688" s="835"/>
      <c r="P1688" s="835"/>
      <c r="Q1688" s="540"/>
      <c r="R1688" s="540"/>
      <c r="S1688" s="540"/>
      <c r="T1688" s="540"/>
      <c r="U1688" s="540"/>
      <c r="V1688" s="540"/>
      <c r="W1688" s="540"/>
      <c r="X1688" s="540"/>
      <c r="Y1688" s="540"/>
      <c r="Z1688" s="540"/>
    </row>
    <row r="1689" spans="1:26" ht="19">
      <c r="A1689" s="631"/>
      <c r="B1689" s="631"/>
      <c r="C1689" s="631"/>
      <c r="D1689" s="832"/>
      <c r="E1689" s="631"/>
      <c r="F1689" s="631"/>
      <c r="G1689" s="631"/>
      <c r="H1689" s="833"/>
      <c r="I1689" s="834"/>
      <c r="J1689" s="834"/>
      <c r="K1689" s="835"/>
      <c r="L1689" s="835"/>
      <c r="M1689" s="835"/>
      <c r="N1689" s="835"/>
      <c r="O1689" s="835"/>
      <c r="P1689" s="835"/>
      <c r="Q1689" s="540"/>
      <c r="R1689" s="540"/>
      <c r="S1689" s="540"/>
      <c r="T1689" s="540"/>
      <c r="U1689" s="540"/>
      <c r="V1689" s="540"/>
      <c r="W1689" s="540"/>
      <c r="X1689" s="540"/>
      <c r="Y1689" s="540"/>
      <c r="Z1689" s="540"/>
    </row>
    <row r="1690" spans="1:26" ht="19">
      <c r="A1690" s="631"/>
      <c r="B1690" s="631"/>
      <c r="C1690" s="631"/>
      <c r="D1690" s="832"/>
      <c r="E1690" s="631"/>
      <c r="F1690" s="631"/>
      <c r="G1690" s="631"/>
      <c r="H1690" s="833"/>
      <c r="I1690" s="834"/>
      <c r="J1690" s="834"/>
      <c r="K1690" s="835"/>
      <c r="L1690" s="835"/>
      <c r="M1690" s="835"/>
      <c r="N1690" s="835"/>
      <c r="O1690" s="835"/>
      <c r="P1690" s="835"/>
      <c r="Q1690" s="540"/>
      <c r="R1690" s="540"/>
      <c r="S1690" s="540"/>
      <c r="T1690" s="540"/>
      <c r="U1690" s="540"/>
      <c r="V1690" s="540"/>
      <c r="W1690" s="540"/>
      <c r="X1690" s="540"/>
      <c r="Y1690" s="540"/>
      <c r="Z1690" s="540"/>
    </row>
    <row r="1691" spans="1:26" ht="19">
      <c r="A1691" s="631"/>
      <c r="B1691" s="631"/>
      <c r="C1691" s="631"/>
      <c r="D1691" s="832"/>
      <c r="E1691" s="631"/>
      <c r="F1691" s="631"/>
      <c r="G1691" s="631"/>
      <c r="H1691" s="833"/>
      <c r="I1691" s="834"/>
      <c r="J1691" s="834"/>
      <c r="K1691" s="835"/>
      <c r="L1691" s="835"/>
      <c r="M1691" s="835"/>
      <c r="N1691" s="835"/>
      <c r="O1691" s="835"/>
      <c r="P1691" s="835"/>
      <c r="Q1691" s="540"/>
      <c r="R1691" s="540"/>
      <c r="S1691" s="540"/>
      <c r="T1691" s="540"/>
      <c r="U1691" s="540"/>
      <c r="V1691" s="540"/>
      <c r="W1691" s="540"/>
      <c r="X1691" s="540"/>
      <c r="Y1691" s="540"/>
      <c r="Z1691" s="540"/>
    </row>
    <row r="1692" spans="1:26" ht="19">
      <c r="A1692" s="631"/>
      <c r="B1692" s="631"/>
      <c r="C1692" s="631"/>
      <c r="D1692" s="832"/>
      <c r="E1692" s="631"/>
      <c r="F1692" s="631"/>
      <c r="G1692" s="631"/>
      <c r="H1692" s="833"/>
      <c r="I1692" s="834"/>
      <c r="J1692" s="834"/>
      <c r="K1692" s="835"/>
      <c r="L1692" s="835"/>
      <c r="M1692" s="835"/>
      <c r="N1692" s="835"/>
      <c r="O1692" s="835"/>
      <c r="P1692" s="835"/>
      <c r="Q1692" s="540"/>
      <c r="R1692" s="540"/>
      <c r="S1692" s="540"/>
      <c r="T1692" s="540"/>
      <c r="U1692" s="540"/>
      <c r="V1692" s="540"/>
      <c r="W1692" s="540"/>
      <c r="X1692" s="540"/>
      <c r="Y1692" s="540"/>
      <c r="Z1692" s="540"/>
    </row>
    <row r="1693" spans="1:26" ht="19">
      <c r="A1693" s="631"/>
      <c r="B1693" s="631"/>
      <c r="C1693" s="631"/>
      <c r="D1693" s="832"/>
      <c r="E1693" s="631"/>
      <c r="F1693" s="631"/>
      <c r="G1693" s="631"/>
      <c r="H1693" s="833"/>
      <c r="I1693" s="834"/>
      <c r="J1693" s="834"/>
      <c r="K1693" s="835"/>
      <c r="L1693" s="835"/>
      <c r="M1693" s="835"/>
      <c r="N1693" s="835"/>
      <c r="O1693" s="835"/>
      <c r="P1693" s="835"/>
      <c r="Q1693" s="540"/>
      <c r="R1693" s="540"/>
      <c r="S1693" s="540"/>
      <c r="T1693" s="540"/>
      <c r="U1693" s="540"/>
      <c r="V1693" s="540"/>
      <c r="W1693" s="540"/>
      <c r="X1693" s="540"/>
      <c r="Y1693" s="540"/>
      <c r="Z1693" s="540"/>
    </row>
    <row r="1694" spans="1:26" ht="19">
      <c r="A1694" s="631"/>
      <c r="B1694" s="631"/>
      <c r="C1694" s="631"/>
      <c r="D1694" s="832"/>
      <c r="E1694" s="631"/>
      <c r="F1694" s="631"/>
      <c r="G1694" s="631"/>
      <c r="H1694" s="833"/>
      <c r="I1694" s="834"/>
      <c r="J1694" s="834"/>
      <c r="K1694" s="835"/>
      <c r="L1694" s="835"/>
      <c r="M1694" s="835"/>
      <c r="N1694" s="835"/>
      <c r="O1694" s="835"/>
      <c r="P1694" s="835"/>
      <c r="Q1694" s="540"/>
      <c r="R1694" s="540"/>
      <c r="S1694" s="540"/>
      <c r="T1694" s="540"/>
      <c r="U1694" s="540"/>
      <c r="V1694" s="540"/>
      <c r="W1694" s="540"/>
      <c r="X1694" s="540"/>
      <c r="Y1694" s="540"/>
      <c r="Z1694" s="540"/>
    </row>
    <row r="1695" spans="1:26" ht="19">
      <c r="A1695" s="631"/>
      <c r="B1695" s="631"/>
      <c r="C1695" s="631"/>
      <c r="D1695" s="832"/>
      <c r="E1695" s="631"/>
      <c r="F1695" s="631"/>
      <c r="G1695" s="631"/>
      <c r="H1695" s="833"/>
      <c r="I1695" s="834"/>
      <c r="J1695" s="834"/>
      <c r="K1695" s="835"/>
      <c r="L1695" s="835"/>
      <c r="M1695" s="835"/>
      <c r="N1695" s="835"/>
      <c r="O1695" s="835"/>
      <c r="P1695" s="835"/>
      <c r="Q1695" s="540"/>
      <c r="R1695" s="540"/>
      <c r="S1695" s="540"/>
      <c r="T1695" s="540"/>
      <c r="U1695" s="540"/>
      <c r="V1695" s="540"/>
      <c r="W1695" s="540"/>
      <c r="X1695" s="540"/>
      <c r="Y1695" s="540"/>
      <c r="Z1695" s="540"/>
    </row>
    <row r="1696" spans="1:26" ht="19">
      <c r="A1696" s="631"/>
      <c r="B1696" s="631"/>
      <c r="C1696" s="631"/>
      <c r="D1696" s="832"/>
      <c r="E1696" s="631"/>
      <c r="F1696" s="631"/>
      <c r="G1696" s="631"/>
      <c r="H1696" s="833"/>
      <c r="I1696" s="834"/>
      <c r="J1696" s="834"/>
      <c r="K1696" s="835"/>
      <c r="L1696" s="835"/>
      <c r="M1696" s="835"/>
      <c r="N1696" s="835"/>
      <c r="O1696" s="835"/>
      <c r="P1696" s="835"/>
      <c r="Q1696" s="540"/>
      <c r="R1696" s="540"/>
      <c r="S1696" s="540"/>
      <c r="T1696" s="540"/>
      <c r="U1696" s="540"/>
      <c r="V1696" s="540"/>
      <c r="W1696" s="540"/>
      <c r="X1696" s="540"/>
      <c r="Y1696" s="540"/>
      <c r="Z1696" s="540"/>
    </row>
    <row r="1697" spans="1:26" ht="19">
      <c r="A1697" s="631"/>
      <c r="B1697" s="631"/>
      <c r="C1697" s="631"/>
      <c r="D1697" s="832"/>
      <c r="E1697" s="631"/>
      <c r="F1697" s="631"/>
      <c r="G1697" s="631"/>
      <c r="H1697" s="833"/>
      <c r="I1697" s="834"/>
      <c r="J1697" s="834"/>
      <c r="K1697" s="835"/>
      <c r="L1697" s="835"/>
      <c r="M1697" s="835"/>
      <c r="N1697" s="835"/>
      <c r="O1697" s="835"/>
      <c r="P1697" s="835"/>
      <c r="Q1697" s="540"/>
      <c r="R1697" s="540"/>
      <c r="S1697" s="540"/>
      <c r="T1697" s="540"/>
      <c r="U1697" s="540"/>
      <c r="V1697" s="540"/>
      <c r="W1697" s="540"/>
      <c r="X1697" s="540"/>
      <c r="Y1697" s="540"/>
      <c r="Z1697" s="540"/>
    </row>
    <row r="1698" spans="1:26" ht="19">
      <c r="A1698" s="631"/>
      <c r="B1698" s="631"/>
      <c r="C1698" s="631"/>
      <c r="D1698" s="832"/>
      <c r="E1698" s="631"/>
      <c r="F1698" s="631"/>
      <c r="G1698" s="631"/>
      <c r="H1698" s="833"/>
      <c r="I1698" s="834"/>
      <c r="J1698" s="834"/>
      <c r="K1698" s="835"/>
      <c r="L1698" s="835"/>
      <c r="M1698" s="835"/>
      <c r="N1698" s="835"/>
      <c r="O1698" s="835"/>
      <c r="P1698" s="835"/>
      <c r="Q1698" s="540"/>
      <c r="R1698" s="540"/>
      <c r="S1698" s="540"/>
      <c r="T1698" s="540"/>
      <c r="U1698" s="540"/>
      <c r="V1698" s="540"/>
      <c r="W1698" s="540"/>
      <c r="X1698" s="540"/>
      <c r="Y1698" s="540"/>
      <c r="Z1698" s="540"/>
    </row>
    <row r="1699" spans="1:26" ht="19">
      <c r="A1699" s="631"/>
      <c r="B1699" s="631"/>
      <c r="C1699" s="631"/>
      <c r="D1699" s="832"/>
      <c r="E1699" s="631"/>
      <c r="F1699" s="631"/>
      <c r="G1699" s="631"/>
      <c r="H1699" s="833"/>
      <c r="I1699" s="834"/>
      <c r="J1699" s="834"/>
      <c r="K1699" s="835"/>
      <c r="L1699" s="835"/>
      <c r="M1699" s="835"/>
      <c r="N1699" s="835"/>
      <c r="O1699" s="835"/>
      <c r="P1699" s="835"/>
      <c r="Q1699" s="540"/>
      <c r="R1699" s="540"/>
      <c r="S1699" s="540"/>
      <c r="T1699" s="540"/>
      <c r="U1699" s="540"/>
      <c r="V1699" s="540"/>
      <c r="W1699" s="540"/>
      <c r="X1699" s="540"/>
      <c r="Y1699" s="540"/>
      <c r="Z1699" s="540"/>
    </row>
    <row r="1700" spans="1:26" ht="19">
      <c r="A1700" s="631"/>
      <c r="B1700" s="631"/>
      <c r="C1700" s="631"/>
      <c r="D1700" s="832"/>
      <c r="E1700" s="631"/>
      <c r="F1700" s="631"/>
      <c r="G1700" s="631"/>
      <c r="H1700" s="833"/>
      <c r="I1700" s="834"/>
      <c r="J1700" s="834"/>
      <c r="K1700" s="835"/>
      <c r="L1700" s="835"/>
      <c r="M1700" s="835"/>
      <c r="N1700" s="835"/>
      <c r="O1700" s="835"/>
      <c r="P1700" s="835"/>
      <c r="Q1700" s="540"/>
      <c r="R1700" s="540"/>
      <c r="S1700" s="540"/>
      <c r="T1700" s="540"/>
      <c r="U1700" s="540"/>
      <c r="V1700" s="540"/>
      <c r="W1700" s="540"/>
      <c r="X1700" s="540"/>
      <c r="Y1700" s="540"/>
      <c r="Z1700" s="540"/>
    </row>
    <row r="1701" spans="1:26" ht="19">
      <c r="A1701" s="631"/>
      <c r="B1701" s="631"/>
      <c r="C1701" s="631"/>
      <c r="D1701" s="832"/>
      <c r="E1701" s="631"/>
      <c r="F1701" s="631"/>
      <c r="G1701" s="631"/>
      <c r="H1701" s="833"/>
      <c r="I1701" s="834"/>
      <c r="J1701" s="834"/>
      <c r="K1701" s="835"/>
      <c r="L1701" s="835"/>
      <c r="M1701" s="835"/>
      <c r="N1701" s="835"/>
      <c r="O1701" s="835"/>
      <c r="P1701" s="835"/>
      <c r="Q1701" s="540"/>
      <c r="R1701" s="540"/>
      <c r="S1701" s="540"/>
      <c r="T1701" s="540"/>
      <c r="U1701" s="540"/>
      <c r="V1701" s="540"/>
      <c r="W1701" s="540"/>
      <c r="X1701" s="540"/>
      <c r="Y1701" s="540"/>
      <c r="Z1701" s="540"/>
    </row>
    <row r="1702" spans="1:26" ht="19">
      <c r="A1702" s="631"/>
      <c r="B1702" s="631"/>
      <c r="C1702" s="631"/>
      <c r="D1702" s="832"/>
      <c r="E1702" s="631"/>
      <c r="F1702" s="631"/>
      <c r="G1702" s="631"/>
      <c r="H1702" s="833"/>
      <c r="I1702" s="834"/>
      <c r="J1702" s="834"/>
      <c r="K1702" s="835"/>
      <c r="L1702" s="835"/>
      <c r="M1702" s="835"/>
      <c r="N1702" s="835"/>
      <c r="O1702" s="835"/>
      <c r="P1702" s="835"/>
      <c r="Q1702" s="540"/>
      <c r="R1702" s="540"/>
      <c r="S1702" s="540"/>
      <c r="T1702" s="540"/>
      <c r="U1702" s="540"/>
      <c r="V1702" s="540"/>
      <c r="W1702" s="540"/>
      <c r="X1702" s="540"/>
      <c r="Y1702" s="540"/>
      <c r="Z1702" s="540"/>
    </row>
    <row r="1703" spans="1:26" ht="19">
      <c r="A1703" s="631"/>
      <c r="B1703" s="631"/>
      <c r="C1703" s="631"/>
      <c r="D1703" s="832"/>
      <c r="E1703" s="631"/>
      <c r="F1703" s="631"/>
      <c r="G1703" s="631"/>
      <c r="H1703" s="833"/>
      <c r="I1703" s="834"/>
      <c r="J1703" s="834"/>
      <c r="K1703" s="835"/>
      <c r="L1703" s="835"/>
      <c r="M1703" s="835"/>
      <c r="N1703" s="835"/>
      <c r="O1703" s="835"/>
      <c r="P1703" s="835"/>
      <c r="Q1703" s="540"/>
      <c r="R1703" s="540"/>
      <c r="S1703" s="540"/>
      <c r="T1703" s="540"/>
      <c r="U1703" s="540"/>
      <c r="V1703" s="540"/>
      <c r="W1703" s="540"/>
      <c r="X1703" s="540"/>
      <c r="Y1703" s="540"/>
      <c r="Z1703" s="540"/>
    </row>
    <row r="1704" spans="1:26" ht="19">
      <c r="A1704" s="631"/>
      <c r="B1704" s="631"/>
      <c r="C1704" s="631"/>
      <c r="D1704" s="832"/>
      <c r="E1704" s="631"/>
      <c r="F1704" s="631"/>
      <c r="G1704" s="631"/>
      <c r="H1704" s="833"/>
      <c r="I1704" s="834"/>
      <c r="J1704" s="834"/>
      <c r="K1704" s="835"/>
      <c r="L1704" s="835"/>
      <c r="M1704" s="835"/>
      <c r="N1704" s="835"/>
      <c r="O1704" s="835"/>
      <c r="P1704" s="835"/>
      <c r="Q1704" s="540"/>
      <c r="R1704" s="540"/>
      <c r="S1704" s="540"/>
      <c r="T1704" s="540"/>
      <c r="U1704" s="540"/>
      <c r="V1704" s="540"/>
      <c r="W1704" s="540"/>
      <c r="X1704" s="540"/>
      <c r="Y1704" s="540"/>
      <c r="Z1704" s="540"/>
    </row>
    <row r="1705" spans="1:26" ht="19">
      <c r="A1705" s="631"/>
      <c r="B1705" s="631"/>
      <c r="C1705" s="631"/>
      <c r="D1705" s="832"/>
      <c r="E1705" s="631"/>
      <c r="F1705" s="631"/>
      <c r="G1705" s="631"/>
      <c r="H1705" s="833"/>
      <c r="I1705" s="834"/>
      <c r="J1705" s="834"/>
      <c r="K1705" s="835"/>
      <c r="L1705" s="835"/>
      <c r="M1705" s="835"/>
      <c r="N1705" s="835"/>
      <c r="O1705" s="835"/>
      <c r="P1705" s="835"/>
      <c r="Q1705" s="540"/>
      <c r="R1705" s="540"/>
      <c r="S1705" s="540"/>
      <c r="T1705" s="540"/>
      <c r="U1705" s="540"/>
      <c r="V1705" s="540"/>
      <c r="W1705" s="540"/>
      <c r="X1705" s="540"/>
      <c r="Y1705" s="540"/>
      <c r="Z1705" s="540"/>
    </row>
    <row r="1706" spans="1:26" ht="19">
      <c r="A1706" s="631"/>
      <c r="B1706" s="631"/>
      <c r="C1706" s="631"/>
      <c r="D1706" s="832"/>
      <c r="E1706" s="631"/>
      <c r="F1706" s="631"/>
      <c r="G1706" s="631"/>
      <c r="H1706" s="833"/>
      <c r="I1706" s="834"/>
      <c r="J1706" s="834"/>
      <c r="K1706" s="835"/>
      <c r="L1706" s="835"/>
      <c r="M1706" s="835"/>
      <c r="N1706" s="835"/>
      <c r="O1706" s="835"/>
      <c r="P1706" s="835"/>
      <c r="Q1706" s="540"/>
      <c r="R1706" s="540"/>
      <c r="S1706" s="540"/>
      <c r="T1706" s="540"/>
      <c r="U1706" s="540"/>
      <c r="V1706" s="540"/>
      <c r="W1706" s="540"/>
      <c r="X1706" s="540"/>
      <c r="Y1706" s="540"/>
      <c r="Z1706" s="540"/>
    </row>
    <row r="1707" spans="1:26" ht="19">
      <c r="A1707" s="631"/>
      <c r="B1707" s="631"/>
      <c r="C1707" s="631"/>
      <c r="D1707" s="832"/>
      <c r="E1707" s="631"/>
      <c r="F1707" s="631"/>
      <c r="G1707" s="631"/>
      <c r="H1707" s="833"/>
      <c r="I1707" s="834"/>
      <c r="J1707" s="834"/>
      <c r="K1707" s="835"/>
      <c r="L1707" s="835"/>
      <c r="M1707" s="835"/>
      <c r="N1707" s="835"/>
      <c r="O1707" s="835"/>
      <c r="P1707" s="835"/>
      <c r="Q1707" s="540"/>
      <c r="R1707" s="540"/>
      <c r="S1707" s="540"/>
      <c r="T1707" s="540"/>
      <c r="U1707" s="540"/>
      <c r="V1707" s="540"/>
      <c r="W1707" s="540"/>
      <c r="X1707" s="540"/>
      <c r="Y1707" s="540"/>
      <c r="Z1707" s="540"/>
    </row>
    <row r="1708" spans="1:26" ht="19">
      <c r="A1708" s="631"/>
      <c r="B1708" s="631"/>
      <c r="C1708" s="631"/>
      <c r="D1708" s="832"/>
      <c r="E1708" s="631"/>
      <c r="F1708" s="631"/>
      <c r="G1708" s="631"/>
      <c r="H1708" s="833"/>
      <c r="I1708" s="834"/>
      <c r="J1708" s="834"/>
      <c r="K1708" s="835"/>
      <c r="L1708" s="835"/>
      <c r="M1708" s="835"/>
      <c r="N1708" s="835"/>
      <c r="O1708" s="835"/>
      <c r="P1708" s="835"/>
      <c r="Q1708" s="540"/>
      <c r="R1708" s="540"/>
      <c r="S1708" s="540"/>
      <c r="T1708" s="540"/>
      <c r="U1708" s="540"/>
      <c r="V1708" s="540"/>
      <c r="W1708" s="540"/>
      <c r="X1708" s="540"/>
      <c r="Y1708" s="540"/>
      <c r="Z1708" s="540"/>
    </row>
    <row r="1709" spans="1:26" ht="19">
      <c r="A1709" s="631"/>
      <c r="B1709" s="631"/>
      <c r="C1709" s="631"/>
      <c r="D1709" s="832"/>
      <c r="E1709" s="631"/>
      <c r="F1709" s="631"/>
      <c r="G1709" s="631"/>
      <c r="H1709" s="833"/>
      <c r="I1709" s="834"/>
      <c r="J1709" s="834"/>
      <c r="K1709" s="835"/>
      <c r="L1709" s="835"/>
      <c r="M1709" s="835"/>
      <c r="N1709" s="835"/>
      <c r="O1709" s="835"/>
      <c r="P1709" s="835"/>
      <c r="Q1709" s="540"/>
      <c r="R1709" s="540"/>
      <c r="S1709" s="540"/>
      <c r="T1709" s="540"/>
      <c r="U1709" s="540"/>
      <c r="V1709" s="540"/>
      <c r="W1709" s="540"/>
      <c r="X1709" s="540"/>
      <c r="Y1709" s="540"/>
      <c r="Z1709" s="540"/>
    </row>
    <row r="1710" spans="1:26" ht="19">
      <c r="A1710" s="631"/>
      <c r="B1710" s="631"/>
      <c r="C1710" s="631"/>
      <c r="D1710" s="832"/>
      <c r="E1710" s="631"/>
      <c r="F1710" s="631"/>
      <c r="G1710" s="631"/>
      <c r="H1710" s="833"/>
      <c r="I1710" s="834"/>
      <c r="J1710" s="834"/>
      <c r="K1710" s="835"/>
      <c r="L1710" s="835"/>
      <c r="M1710" s="835"/>
      <c r="N1710" s="835"/>
      <c r="O1710" s="835"/>
      <c r="P1710" s="835"/>
      <c r="Q1710" s="540"/>
      <c r="R1710" s="540"/>
      <c r="S1710" s="540"/>
      <c r="T1710" s="540"/>
      <c r="U1710" s="540"/>
      <c r="V1710" s="540"/>
      <c r="W1710" s="540"/>
      <c r="X1710" s="540"/>
      <c r="Y1710" s="540"/>
      <c r="Z1710" s="540"/>
    </row>
    <row r="1711" spans="1:26" ht="19">
      <c r="A1711" s="631"/>
      <c r="B1711" s="631"/>
      <c r="C1711" s="631"/>
      <c r="D1711" s="832"/>
      <c r="E1711" s="631"/>
      <c r="F1711" s="631"/>
      <c r="G1711" s="631"/>
      <c r="H1711" s="833"/>
      <c r="I1711" s="834"/>
      <c r="J1711" s="834"/>
      <c r="K1711" s="835"/>
      <c r="L1711" s="835"/>
      <c r="M1711" s="835"/>
      <c r="N1711" s="835"/>
      <c r="O1711" s="835"/>
      <c r="P1711" s="835"/>
      <c r="Q1711" s="540"/>
      <c r="R1711" s="540"/>
      <c r="S1711" s="540"/>
      <c r="T1711" s="540"/>
      <c r="U1711" s="540"/>
      <c r="V1711" s="540"/>
      <c r="W1711" s="540"/>
      <c r="X1711" s="540"/>
      <c r="Y1711" s="540"/>
      <c r="Z1711" s="540"/>
    </row>
    <row r="1712" spans="1:26" ht="19">
      <c r="A1712" s="631"/>
      <c r="B1712" s="631"/>
      <c r="C1712" s="631"/>
      <c r="D1712" s="832"/>
      <c r="E1712" s="631"/>
      <c r="F1712" s="631"/>
      <c r="G1712" s="631"/>
      <c r="H1712" s="833"/>
      <c r="I1712" s="834"/>
      <c r="J1712" s="834"/>
      <c r="K1712" s="835"/>
      <c r="L1712" s="835"/>
      <c r="M1712" s="835"/>
      <c r="N1712" s="835"/>
      <c r="O1712" s="835"/>
      <c r="P1712" s="835"/>
      <c r="Q1712" s="540"/>
      <c r="R1712" s="540"/>
      <c r="S1712" s="540"/>
      <c r="T1712" s="540"/>
      <c r="U1712" s="540"/>
      <c r="V1712" s="540"/>
      <c r="W1712" s="540"/>
      <c r="X1712" s="540"/>
      <c r="Y1712" s="540"/>
      <c r="Z1712" s="540"/>
    </row>
    <row r="1713" spans="1:26" ht="19">
      <c r="A1713" s="631"/>
      <c r="B1713" s="631"/>
      <c r="C1713" s="631"/>
      <c r="D1713" s="832"/>
      <c r="E1713" s="631"/>
      <c r="F1713" s="631"/>
      <c r="G1713" s="631"/>
      <c r="H1713" s="833"/>
      <c r="I1713" s="834"/>
      <c r="J1713" s="834"/>
      <c r="K1713" s="835"/>
      <c r="L1713" s="835"/>
      <c r="M1713" s="835"/>
      <c r="N1713" s="835"/>
      <c r="O1713" s="835"/>
      <c r="P1713" s="835"/>
      <c r="Q1713" s="540"/>
      <c r="R1713" s="540"/>
      <c r="S1713" s="540"/>
      <c r="T1713" s="540"/>
      <c r="U1713" s="540"/>
      <c r="V1713" s="540"/>
      <c r="W1713" s="540"/>
      <c r="X1713" s="540"/>
      <c r="Y1713" s="540"/>
      <c r="Z1713" s="540"/>
    </row>
    <row r="1714" spans="1:26" ht="19">
      <c r="A1714" s="631"/>
      <c r="B1714" s="631"/>
      <c r="C1714" s="631"/>
      <c r="D1714" s="832"/>
      <c r="E1714" s="631"/>
      <c r="F1714" s="631"/>
      <c r="G1714" s="631"/>
      <c r="H1714" s="833"/>
      <c r="I1714" s="834"/>
      <c r="J1714" s="834"/>
      <c r="K1714" s="835"/>
      <c r="L1714" s="835"/>
      <c r="M1714" s="835"/>
      <c r="N1714" s="835"/>
      <c r="O1714" s="835"/>
      <c r="P1714" s="835"/>
      <c r="Q1714" s="540"/>
      <c r="R1714" s="540"/>
      <c r="S1714" s="540"/>
      <c r="T1714" s="540"/>
      <c r="U1714" s="540"/>
      <c r="V1714" s="540"/>
      <c r="W1714" s="540"/>
      <c r="X1714" s="540"/>
      <c r="Y1714" s="540"/>
      <c r="Z1714" s="540"/>
    </row>
    <row r="1715" spans="1:26" ht="19">
      <c r="A1715" s="631"/>
      <c r="B1715" s="631"/>
      <c r="C1715" s="631"/>
      <c r="D1715" s="832"/>
      <c r="E1715" s="631"/>
      <c r="F1715" s="631"/>
      <c r="G1715" s="631"/>
      <c r="H1715" s="833"/>
      <c r="I1715" s="834"/>
      <c r="J1715" s="834"/>
      <c r="K1715" s="835"/>
      <c r="L1715" s="835"/>
      <c r="M1715" s="835"/>
      <c r="N1715" s="835"/>
      <c r="O1715" s="835"/>
      <c r="P1715" s="835"/>
      <c r="Q1715" s="540"/>
      <c r="R1715" s="540"/>
      <c r="S1715" s="540"/>
      <c r="T1715" s="540"/>
      <c r="U1715" s="540"/>
      <c r="V1715" s="540"/>
      <c r="W1715" s="540"/>
      <c r="X1715" s="540"/>
      <c r="Y1715" s="540"/>
      <c r="Z1715" s="540"/>
    </row>
    <row r="1716" spans="1:26" ht="19">
      <c r="A1716" s="631"/>
      <c r="B1716" s="631"/>
      <c r="C1716" s="631"/>
      <c r="D1716" s="832"/>
      <c r="E1716" s="631"/>
      <c r="F1716" s="631"/>
      <c r="G1716" s="631"/>
      <c r="H1716" s="833"/>
      <c r="I1716" s="834"/>
      <c r="J1716" s="834"/>
      <c r="K1716" s="835"/>
      <c r="L1716" s="835"/>
      <c r="M1716" s="835"/>
      <c r="N1716" s="835"/>
      <c r="O1716" s="835"/>
      <c r="P1716" s="835"/>
      <c r="Q1716" s="540"/>
      <c r="R1716" s="540"/>
      <c r="S1716" s="540"/>
      <c r="T1716" s="540"/>
      <c r="U1716" s="540"/>
      <c r="V1716" s="540"/>
      <c r="W1716" s="540"/>
      <c r="X1716" s="540"/>
      <c r="Y1716" s="540"/>
      <c r="Z1716" s="540"/>
    </row>
    <row r="1717" spans="1:26" ht="19">
      <c r="A1717" s="631"/>
      <c r="B1717" s="631"/>
      <c r="C1717" s="631"/>
      <c r="D1717" s="832"/>
      <c r="E1717" s="631"/>
      <c r="F1717" s="631"/>
      <c r="G1717" s="631"/>
      <c r="H1717" s="833"/>
      <c r="I1717" s="834"/>
      <c r="J1717" s="834"/>
      <c r="K1717" s="835"/>
      <c r="L1717" s="835"/>
      <c r="M1717" s="835"/>
      <c r="N1717" s="835"/>
      <c r="O1717" s="835"/>
      <c r="P1717" s="835"/>
      <c r="Q1717" s="540"/>
      <c r="R1717" s="540"/>
      <c r="S1717" s="540"/>
      <c r="T1717" s="540"/>
      <c r="U1717" s="540"/>
      <c r="V1717" s="540"/>
      <c r="W1717" s="540"/>
      <c r="X1717" s="540"/>
      <c r="Y1717" s="540"/>
      <c r="Z1717" s="540"/>
    </row>
    <row r="1718" spans="1:26" ht="19">
      <c r="A1718" s="631"/>
      <c r="B1718" s="631"/>
      <c r="C1718" s="631"/>
      <c r="D1718" s="832"/>
      <c r="E1718" s="631"/>
      <c r="F1718" s="631"/>
      <c r="G1718" s="631"/>
      <c r="H1718" s="833"/>
      <c r="I1718" s="834"/>
      <c r="J1718" s="834"/>
      <c r="K1718" s="835"/>
      <c r="L1718" s="835"/>
      <c r="M1718" s="835"/>
      <c r="N1718" s="835"/>
      <c r="O1718" s="835"/>
      <c r="P1718" s="835"/>
      <c r="Q1718" s="540"/>
      <c r="R1718" s="540"/>
      <c r="S1718" s="540"/>
      <c r="T1718" s="540"/>
      <c r="U1718" s="540"/>
      <c r="V1718" s="540"/>
      <c r="W1718" s="540"/>
      <c r="X1718" s="540"/>
      <c r="Y1718" s="540"/>
      <c r="Z1718" s="540"/>
    </row>
    <row r="1719" spans="1:26" ht="19">
      <c r="A1719" s="631"/>
      <c r="B1719" s="631"/>
      <c r="C1719" s="631"/>
      <c r="D1719" s="832"/>
      <c r="E1719" s="631"/>
      <c r="F1719" s="631"/>
      <c r="G1719" s="631"/>
      <c r="H1719" s="833"/>
      <c r="I1719" s="834"/>
      <c r="J1719" s="834"/>
      <c r="K1719" s="835"/>
      <c r="L1719" s="835"/>
      <c r="M1719" s="835"/>
      <c r="N1719" s="835"/>
      <c r="O1719" s="835"/>
      <c r="P1719" s="835"/>
      <c r="Q1719" s="540"/>
      <c r="R1719" s="540"/>
      <c r="S1719" s="540"/>
      <c r="T1719" s="540"/>
      <c r="U1719" s="540"/>
      <c r="V1719" s="540"/>
      <c r="W1719" s="540"/>
      <c r="X1719" s="540"/>
      <c r="Y1719" s="540"/>
      <c r="Z1719" s="540"/>
    </row>
    <row r="1720" spans="1:26" ht="19">
      <c r="A1720" s="631"/>
      <c r="B1720" s="631"/>
      <c r="C1720" s="631"/>
      <c r="D1720" s="832"/>
      <c r="E1720" s="631"/>
      <c r="F1720" s="631"/>
      <c r="G1720" s="631"/>
      <c r="H1720" s="833"/>
      <c r="I1720" s="834"/>
      <c r="J1720" s="834"/>
      <c r="K1720" s="835"/>
      <c r="L1720" s="835"/>
      <c r="M1720" s="835"/>
      <c r="N1720" s="835"/>
      <c r="O1720" s="835"/>
      <c r="P1720" s="835"/>
      <c r="Q1720" s="540"/>
      <c r="R1720" s="540"/>
      <c r="S1720" s="540"/>
      <c r="T1720" s="540"/>
      <c r="U1720" s="540"/>
      <c r="V1720" s="540"/>
      <c r="W1720" s="540"/>
      <c r="X1720" s="540"/>
      <c r="Y1720" s="540"/>
      <c r="Z1720" s="540"/>
    </row>
    <row r="1721" spans="1:26" ht="19">
      <c r="A1721" s="631"/>
      <c r="B1721" s="631"/>
      <c r="C1721" s="631"/>
      <c r="D1721" s="832"/>
      <c r="E1721" s="631"/>
      <c r="F1721" s="631"/>
      <c r="G1721" s="631"/>
      <c r="H1721" s="833"/>
      <c r="I1721" s="834"/>
      <c r="J1721" s="834"/>
      <c r="K1721" s="835"/>
      <c r="L1721" s="835"/>
      <c r="M1721" s="835"/>
      <c r="N1721" s="835"/>
      <c r="O1721" s="835"/>
      <c r="P1721" s="835"/>
      <c r="Q1721" s="540"/>
      <c r="R1721" s="540"/>
      <c r="S1721" s="540"/>
      <c r="T1721" s="540"/>
      <c r="U1721" s="540"/>
      <c r="V1721" s="540"/>
      <c r="W1721" s="540"/>
      <c r="X1721" s="540"/>
      <c r="Y1721" s="540"/>
      <c r="Z1721" s="540"/>
    </row>
    <row r="1722" spans="1:26" ht="19">
      <c r="A1722" s="631"/>
      <c r="B1722" s="631"/>
      <c r="C1722" s="631"/>
      <c r="D1722" s="832"/>
      <c r="E1722" s="631"/>
      <c r="F1722" s="631"/>
      <c r="G1722" s="631"/>
      <c r="H1722" s="833"/>
      <c r="I1722" s="834"/>
      <c r="J1722" s="834"/>
      <c r="K1722" s="835"/>
      <c r="L1722" s="835"/>
      <c r="M1722" s="835"/>
      <c r="N1722" s="835"/>
      <c r="O1722" s="835"/>
      <c r="P1722" s="835"/>
      <c r="Q1722" s="540"/>
      <c r="R1722" s="540"/>
      <c r="S1722" s="540"/>
      <c r="T1722" s="540"/>
      <c r="U1722" s="540"/>
      <c r="V1722" s="540"/>
      <c r="W1722" s="540"/>
      <c r="X1722" s="540"/>
      <c r="Y1722" s="540"/>
      <c r="Z1722" s="540"/>
    </row>
    <row r="1723" spans="1:26" ht="19">
      <c r="A1723" s="631"/>
      <c r="B1723" s="631"/>
      <c r="C1723" s="631"/>
      <c r="D1723" s="832"/>
      <c r="E1723" s="631"/>
      <c r="F1723" s="631"/>
      <c r="G1723" s="631"/>
      <c r="H1723" s="833"/>
      <c r="I1723" s="834"/>
      <c r="J1723" s="834"/>
      <c r="K1723" s="835"/>
      <c r="L1723" s="835"/>
      <c r="M1723" s="835"/>
      <c r="N1723" s="835"/>
      <c r="O1723" s="835"/>
      <c r="P1723" s="835"/>
      <c r="Q1723" s="540"/>
      <c r="R1723" s="540"/>
      <c r="S1723" s="540"/>
      <c r="T1723" s="540"/>
      <c r="U1723" s="540"/>
      <c r="V1723" s="540"/>
      <c r="W1723" s="540"/>
      <c r="X1723" s="540"/>
      <c r="Y1723" s="540"/>
      <c r="Z1723" s="540"/>
    </row>
    <row r="1724" spans="1:26" ht="19">
      <c r="A1724" s="631"/>
      <c r="B1724" s="631"/>
      <c r="C1724" s="631"/>
      <c r="D1724" s="832"/>
      <c r="E1724" s="631"/>
      <c r="F1724" s="631"/>
      <c r="G1724" s="631"/>
      <c r="H1724" s="833"/>
      <c r="I1724" s="834"/>
      <c r="J1724" s="834"/>
      <c r="K1724" s="835"/>
      <c r="L1724" s="835"/>
      <c r="M1724" s="835"/>
      <c r="N1724" s="835"/>
      <c r="O1724" s="835"/>
      <c r="P1724" s="835"/>
      <c r="Q1724" s="540"/>
      <c r="R1724" s="540"/>
      <c r="S1724" s="540"/>
      <c r="T1724" s="540"/>
      <c r="U1724" s="540"/>
      <c r="V1724" s="540"/>
      <c r="W1724" s="540"/>
      <c r="X1724" s="540"/>
      <c r="Y1724" s="540"/>
      <c r="Z1724" s="540"/>
    </row>
    <row r="1725" spans="1:26" ht="19">
      <c r="A1725" s="631"/>
      <c r="B1725" s="631"/>
      <c r="C1725" s="631"/>
      <c r="D1725" s="832"/>
      <c r="E1725" s="631"/>
      <c r="F1725" s="631"/>
      <c r="G1725" s="631"/>
      <c r="H1725" s="833"/>
      <c r="I1725" s="834"/>
      <c r="J1725" s="834"/>
      <c r="K1725" s="835"/>
      <c r="L1725" s="835"/>
      <c r="M1725" s="835"/>
      <c r="N1725" s="835"/>
      <c r="O1725" s="835"/>
      <c r="P1725" s="835"/>
      <c r="Q1725" s="540"/>
      <c r="R1725" s="540"/>
      <c r="S1725" s="540"/>
      <c r="T1725" s="540"/>
      <c r="U1725" s="540"/>
      <c r="V1725" s="540"/>
      <c r="W1725" s="540"/>
      <c r="X1725" s="540"/>
      <c r="Y1725" s="540"/>
      <c r="Z1725" s="540"/>
    </row>
    <row r="1726" spans="1:26" ht="19">
      <c r="A1726" s="631"/>
      <c r="B1726" s="631"/>
      <c r="C1726" s="631"/>
      <c r="D1726" s="832"/>
      <c r="E1726" s="631"/>
      <c r="F1726" s="631"/>
      <c r="G1726" s="631"/>
      <c r="H1726" s="833"/>
      <c r="I1726" s="834"/>
      <c r="J1726" s="834"/>
      <c r="K1726" s="835"/>
      <c r="L1726" s="835"/>
      <c r="M1726" s="835"/>
      <c r="N1726" s="835"/>
      <c r="O1726" s="835"/>
      <c r="P1726" s="835"/>
      <c r="Q1726" s="540"/>
      <c r="R1726" s="540"/>
      <c r="S1726" s="540"/>
      <c r="T1726" s="540"/>
      <c r="U1726" s="540"/>
      <c r="V1726" s="540"/>
      <c r="W1726" s="540"/>
      <c r="X1726" s="540"/>
      <c r="Y1726" s="540"/>
      <c r="Z1726" s="540"/>
    </row>
    <row r="1727" spans="1:26" ht="19">
      <c r="A1727" s="631"/>
      <c r="B1727" s="631"/>
      <c r="C1727" s="631"/>
      <c r="D1727" s="832"/>
      <c r="E1727" s="631"/>
      <c r="F1727" s="631"/>
      <c r="G1727" s="631"/>
      <c r="H1727" s="833"/>
      <c r="I1727" s="834"/>
      <c r="J1727" s="834"/>
      <c r="K1727" s="835"/>
      <c r="L1727" s="835"/>
      <c r="M1727" s="835"/>
      <c r="N1727" s="835"/>
      <c r="O1727" s="835"/>
      <c r="P1727" s="835"/>
      <c r="Q1727" s="540"/>
      <c r="R1727" s="540"/>
      <c r="S1727" s="540"/>
      <c r="T1727" s="540"/>
      <c r="U1727" s="540"/>
      <c r="V1727" s="540"/>
      <c r="W1727" s="540"/>
      <c r="X1727" s="540"/>
      <c r="Y1727" s="540"/>
      <c r="Z1727" s="540"/>
    </row>
    <row r="1728" spans="1:26" ht="19">
      <c r="A1728" s="631"/>
      <c r="B1728" s="631"/>
      <c r="C1728" s="631"/>
      <c r="D1728" s="832"/>
      <c r="E1728" s="631"/>
      <c r="F1728" s="631"/>
      <c r="G1728" s="631"/>
      <c r="H1728" s="833"/>
      <c r="I1728" s="834"/>
      <c r="J1728" s="834"/>
      <c r="K1728" s="835"/>
      <c r="L1728" s="835"/>
      <c r="M1728" s="835"/>
      <c r="N1728" s="835"/>
      <c r="O1728" s="835"/>
      <c r="P1728" s="835"/>
      <c r="Q1728" s="540"/>
      <c r="R1728" s="540"/>
      <c r="S1728" s="540"/>
      <c r="T1728" s="540"/>
      <c r="U1728" s="540"/>
      <c r="V1728" s="540"/>
      <c r="W1728" s="540"/>
      <c r="X1728" s="540"/>
      <c r="Y1728" s="540"/>
      <c r="Z1728" s="540"/>
    </row>
    <row r="1729" spans="1:26" ht="19">
      <c r="A1729" s="631"/>
      <c r="B1729" s="631"/>
      <c r="C1729" s="631"/>
      <c r="D1729" s="832"/>
      <c r="E1729" s="631"/>
      <c r="F1729" s="631"/>
      <c r="G1729" s="631"/>
      <c r="H1729" s="833"/>
      <c r="I1729" s="834"/>
      <c r="J1729" s="834"/>
      <c r="K1729" s="835"/>
      <c r="L1729" s="835"/>
      <c r="M1729" s="835"/>
      <c r="N1729" s="835"/>
      <c r="O1729" s="835"/>
      <c r="P1729" s="835"/>
      <c r="Q1729" s="540"/>
      <c r="R1729" s="540"/>
      <c r="S1729" s="540"/>
      <c r="T1729" s="540"/>
      <c r="U1729" s="540"/>
      <c r="V1729" s="540"/>
      <c r="W1729" s="540"/>
      <c r="X1729" s="540"/>
      <c r="Y1729" s="540"/>
      <c r="Z1729" s="540"/>
    </row>
    <row r="1730" spans="1:26" ht="19">
      <c r="A1730" s="631"/>
      <c r="B1730" s="631"/>
      <c r="C1730" s="631"/>
      <c r="D1730" s="832"/>
      <c r="E1730" s="631"/>
      <c r="F1730" s="631"/>
      <c r="G1730" s="631"/>
      <c r="H1730" s="833"/>
      <c r="I1730" s="834"/>
      <c r="J1730" s="834"/>
      <c r="K1730" s="835"/>
      <c r="L1730" s="835"/>
      <c r="M1730" s="835"/>
      <c r="N1730" s="835"/>
      <c r="O1730" s="835"/>
      <c r="P1730" s="835"/>
      <c r="Q1730" s="540"/>
      <c r="R1730" s="540"/>
      <c r="S1730" s="540"/>
      <c r="T1730" s="540"/>
      <c r="U1730" s="540"/>
      <c r="V1730" s="540"/>
      <c r="W1730" s="540"/>
      <c r="X1730" s="540"/>
      <c r="Y1730" s="540"/>
      <c r="Z1730" s="540"/>
    </row>
    <row r="1731" spans="1:26" ht="19">
      <c r="A1731" s="631"/>
      <c r="B1731" s="631"/>
      <c r="C1731" s="631"/>
      <c r="D1731" s="832"/>
      <c r="E1731" s="631"/>
      <c r="F1731" s="631"/>
      <c r="G1731" s="631"/>
      <c r="H1731" s="833"/>
      <c r="I1731" s="834"/>
      <c r="J1731" s="834"/>
      <c r="K1731" s="835"/>
      <c r="L1731" s="835"/>
      <c r="M1731" s="835"/>
      <c r="N1731" s="835"/>
      <c r="O1731" s="835"/>
      <c r="P1731" s="835"/>
      <c r="Q1731" s="540"/>
      <c r="R1731" s="540"/>
      <c r="S1731" s="540"/>
      <c r="T1731" s="540"/>
      <c r="U1731" s="540"/>
      <c r="V1731" s="540"/>
      <c r="W1731" s="540"/>
      <c r="X1731" s="540"/>
      <c r="Y1731" s="540"/>
      <c r="Z1731" s="540"/>
    </row>
    <row r="1732" spans="1:26" ht="19">
      <c r="A1732" s="631"/>
      <c r="B1732" s="631"/>
      <c r="C1732" s="631"/>
      <c r="D1732" s="832"/>
      <c r="E1732" s="631"/>
      <c r="F1732" s="631"/>
      <c r="G1732" s="631"/>
      <c r="H1732" s="833"/>
      <c r="I1732" s="834"/>
      <c r="J1732" s="834"/>
      <c r="K1732" s="835"/>
      <c r="L1732" s="835"/>
      <c r="M1732" s="835"/>
      <c r="N1732" s="835"/>
      <c r="O1732" s="835"/>
      <c r="P1732" s="835"/>
      <c r="Q1732" s="540"/>
      <c r="R1732" s="540"/>
      <c r="S1732" s="540"/>
      <c r="T1732" s="540"/>
      <c r="U1732" s="540"/>
      <c r="V1732" s="540"/>
      <c r="W1732" s="540"/>
      <c r="X1732" s="540"/>
      <c r="Y1732" s="540"/>
      <c r="Z1732" s="540"/>
    </row>
    <row r="1733" spans="1:26" ht="19">
      <c r="A1733" s="631"/>
      <c r="B1733" s="631"/>
      <c r="C1733" s="631"/>
      <c r="D1733" s="832"/>
      <c r="E1733" s="631"/>
      <c r="F1733" s="631"/>
      <c r="G1733" s="631"/>
      <c r="H1733" s="833"/>
      <c r="I1733" s="834"/>
      <c r="J1733" s="834"/>
      <c r="K1733" s="835"/>
      <c r="L1733" s="835"/>
      <c r="M1733" s="835"/>
      <c r="N1733" s="835"/>
      <c r="O1733" s="835"/>
      <c r="P1733" s="835"/>
      <c r="Q1733" s="540"/>
      <c r="R1733" s="540"/>
      <c r="S1733" s="540"/>
      <c r="T1733" s="540"/>
      <c r="U1733" s="540"/>
      <c r="V1733" s="540"/>
      <c r="W1733" s="540"/>
      <c r="X1733" s="540"/>
      <c r="Y1733" s="540"/>
      <c r="Z1733" s="540"/>
    </row>
    <row r="1734" spans="1:26" ht="19">
      <c r="A1734" s="631"/>
      <c r="B1734" s="631"/>
      <c r="C1734" s="631"/>
      <c r="D1734" s="832"/>
      <c r="E1734" s="631"/>
      <c r="F1734" s="631"/>
      <c r="G1734" s="631"/>
      <c r="H1734" s="833"/>
      <c r="I1734" s="834"/>
      <c r="J1734" s="834"/>
      <c r="K1734" s="835"/>
      <c r="L1734" s="835"/>
      <c r="M1734" s="835"/>
      <c r="N1734" s="835"/>
      <c r="O1734" s="835"/>
      <c r="P1734" s="835"/>
      <c r="Q1734" s="540"/>
      <c r="R1734" s="540"/>
      <c r="S1734" s="540"/>
      <c r="T1734" s="540"/>
      <c r="U1734" s="540"/>
      <c r="V1734" s="540"/>
      <c r="W1734" s="540"/>
      <c r="X1734" s="540"/>
      <c r="Y1734" s="540"/>
      <c r="Z1734" s="540"/>
    </row>
    <row r="1735" spans="1:26" ht="19">
      <c r="A1735" s="631"/>
      <c r="B1735" s="631"/>
      <c r="C1735" s="631"/>
      <c r="D1735" s="832"/>
      <c r="E1735" s="631"/>
      <c r="F1735" s="631"/>
      <c r="G1735" s="631"/>
      <c r="H1735" s="833"/>
      <c r="I1735" s="834"/>
      <c r="J1735" s="834"/>
      <c r="K1735" s="835"/>
      <c r="L1735" s="835"/>
      <c r="M1735" s="835"/>
      <c r="N1735" s="835"/>
      <c r="O1735" s="835"/>
      <c r="P1735" s="835"/>
      <c r="Q1735" s="540"/>
      <c r="R1735" s="540"/>
      <c r="S1735" s="540"/>
      <c r="T1735" s="540"/>
      <c r="U1735" s="540"/>
      <c r="V1735" s="540"/>
      <c r="W1735" s="540"/>
      <c r="X1735" s="540"/>
      <c r="Y1735" s="540"/>
      <c r="Z1735" s="540"/>
    </row>
    <row r="1736" spans="1:26" ht="19">
      <c r="A1736" s="631"/>
      <c r="B1736" s="631"/>
      <c r="C1736" s="631"/>
      <c r="D1736" s="832"/>
      <c r="E1736" s="631"/>
      <c r="F1736" s="631"/>
      <c r="G1736" s="631"/>
      <c r="H1736" s="833"/>
      <c r="I1736" s="834"/>
      <c r="J1736" s="834"/>
      <c r="K1736" s="835"/>
      <c r="L1736" s="835"/>
      <c r="M1736" s="835"/>
      <c r="N1736" s="835"/>
      <c r="O1736" s="835"/>
      <c r="P1736" s="835"/>
      <c r="Q1736" s="540"/>
      <c r="R1736" s="540"/>
      <c r="S1736" s="540"/>
      <c r="T1736" s="540"/>
      <c r="U1736" s="540"/>
      <c r="V1736" s="540"/>
      <c r="W1736" s="540"/>
      <c r="X1736" s="540"/>
      <c r="Y1736" s="540"/>
      <c r="Z1736" s="540"/>
    </row>
    <row r="1737" spans="1:26" ht="19">
      <c r="A1737" s="631"/>
      <c r="B1737" s="631"/>
      <c r="C1737" s="631"/>
      <c r="D1737" s="832"/>
      <c r="E1737" s="631"/>
      <c r="F1737" s="631"/>
      <c r="G1737" s="631"/>
      <c r="H1737" s="833"/>
      <c r="I1737" s="834"/>
      <c r="J1737" s="834"/>
      <c r="K1737" s="835"/>
      <c r="L1737" s="835"/>
      <c r="M1737" s="835"/>
      <c r="N1737" s="835"/>
      <c r="O1737" s="835"/>
      <c r="P1737" s="835"/>
      <c r="Q1737" s="540"/>
      <c r="R1737" s="540"/>
      <c r="S1737" s="540"/>
      <c r="T1737" s="540"/>
      <c r="U1737" s="540"/>
      <c r="V1737" s="540"/>
      <c r="W1737" s="540"/>
      <c r="X1737" s="540"/>
      <c r="Y1737" s="540"/>
      <c r="Z1737" s="540"/>
    </row>
    <row r="1738" spans="1:26" ht="19">
      <c r="A1738" s="631"/>
      <c r="B1738" s="631"/>
      <c r="C1738" s="631"/>
      <c r="D1738" s="832"/>
      <c r="E1738" s="631"/>
      <c r="F1738" s="631"/>
      <c r="G1738" s="631"/>
      <c r="H1738" s="833"/>
      <c r="I1738" s="834"/>
      <c r="J1738" s="834"/>
      <c r="K1738" s="835"/>
      <c r="L1738" s="835"/>
      <c r="M1738" s="835"/>
      <c r="N1738" s="835"/>
      <c r="O1738" s="835"/>
      <c r="P1738" s="835"/>
      <c r="Q1738" s="540"/>
      <c r="R1738" s="540"/>
      <c r="S1738" s="540"/>
      <c r="T1738" s="540"/>
      <c r="U1738" s="540"/>
      <c r="V1738" s="540"/>
      <c r="W1738" s="540"/>
      <c r="X1738" s="540"/>
      <c r="Y1738" s="540"/>
      <c r="Z1738" s="540"/>
    </row>
    <row r="1739" spans="1:26" ht="19">
      <c r="A1739" s="631"/>
      <c r="B1739" s="631"/>
      <c r="C1739" s="631"/>
      <c r="D1739" s="832"/>
      <c r="E1739" s="631"/>
      <c r="F1739" s="631"/>
      <c r="G1739" s="631"/>
      <c r="H1739" s="833"/>
      <c r="I1739" s="834"/>
      <c r="J1739" s="834"/>
      <c r="K1739" s="835"/>
      <c r="L1739" s="835"/>
      <c r="M1739" s="835"/>
      <c r="N1739" s="835"/>
      <c r="O1739" s="835"/>
      <c r="P1739" s="835"/>
      <c r="Q1739" s="540"/>
      <c r="R1739" s="540"/>
      <c r="S1739" s="540"/>
      <c r="T1739" s="540"/>
      <c r="U1739" s="540"/>
      <c r="V1739" s="540"/>
      <c r="W1739" s="540"/>
      <c r="X1739" s="540"/>
      <c r="Y1739" s="540"/>
      <c r="Z1739" s="540"/>
    </row>
    <row r="1740" spans="1:26" ht="19">
      <c r="A1740" s="631"/>
      <c r="B1740" s="631"/>
      <c r="C1740" s="631"/>
      <c r="D1740" s="832"/>
      <c r="E1740" s="631"/>
      <c r="F1740" s="631"/>
      <c r="G1740" s="631"/>
      <c r="H1740" s="833"/>
      <c r="I1740" s="834"/>
      <c r="J1740" s="834"/>
      <c r="K1740" s="835"/>
      <c r="L1740" s="835"/>
      <c r="M1740" s="835"/>
      <c r="N1740" s="835"/>
      <c r="O1740" s="835"/>
      <c r="P1740" s="835"/>
      <c r="Q1740" s="540"/>
      <c r="R1740" s="540"/>
      <c r="S1740" s="540"/>
      <c r="T1740" s="540"/>
      <c r="U1740" s="540"/>
      <c r="V1740" s="540"/>
      <c r="W1740" s="540"/>
      <c r="X1740" s="540"/>
      <c r="Y1740" s="540"/>
      <c r="Z1740" s="540"/>
    </row>
    <row r="1741" spans="1:26" ht="19">
      <c r="A1741" s="631"/>
      <c r="B1741" s="631"/>
      <c r="C1741" s="631"/>
      <c r="D1741" s="832"/>
      <c r="E1741" s="631"/>
      <c r="F1741" s="631"/>
      <c r="G1741" s="631"/>
      <c r="H1741" s="833"/>
      <c r="I1741" s="834"/>
      <c r="J1741" s="834"/>
      <c r="K1741" s="835"/>
      <c r="L1741" s="835"/>
      <c r="M1741" s="835"/>
      <c r="N1741" s="835"/>
      <c r="O1741" s="835"/>
      <c r="P1741" s="835"/>
      <c r="Q1741" s="540"/>
      <c r="R1741" s="540"/>
      <c r="S1741" s="540"/>
      <c r="T1741" s="540"/>
      <c r="U1741" s="540"/>
      <c r="V1741" s="540"/>
      <c r="W1741" s="540"/>
      <c r="X1741" s="540"/>
      <c r="Y1741" s="540"/>
      <c r="Z1741" s="540"/>
    </row>
    <row r="1742" spans="1:26" ht="19">
      <c r="A1742" s="631"/>
      <c r="B1742" s="631"/>
      <c r="C1742" s="631"/>
      <c r="D1742" s="832"/>
      <c r="E1742" s="631"/>
      <c r="F1742" s="631"/>
      <c r="G1742" s="631"/>
      <c r="H1742" s="833"/>
      <c r="I1742" s="834"/>
      <c r="J1742" s="834"/>
      <c r="K1742" s="835"/>
      <c r="L1742" s="835"/>
      <c r="M1742" s="835"/>
      <c r="N1742" s="835"/>
      <c r="O1742" s="835"/>
      <c r="P1742" s="835"/>
      <c r="Q1742" s="540"/>
      <c r="R1742" s="540"/>
      <c r="S1742" s="540"/>
      <c r="T1742" s="540"/>
      <c r="U1742" s="540"/>
      <c r="V1742" s="540"/>
      <c r="W1742" s="540"/>
      <c r="X1742" s="540"/>
      <c r="Y1742" s="540"/>
      <c r="Z1742" s="540"/>
    </row>
    <row r="1743" spans="1:26" ht="19">
      <c r="A1743" s="631"/>
      <c r="B1743" s="631"/>
      <c r="C1743" s="631"/>
      <c r="D1743" s="832"/>
      <c r="E1743" s="631"/>
      <c r="F1743" s="631"/>
      <c r="G1743" s="631"/>
      <c r="H1743" s="833"/>
      <c r="I1743" s="834"/>
      <c r="J1743" s="834"/>
      <c r="K1743" s="835"/>
      <c r="L1743" s="835"/>
      <c r="M1743" s="835"/>
      <c r="N1743" s="835"/>
      <c r="O1743" s="835"/>
      <c r="P1743" s="835"/>
      <c r="Q1743" s="540"/>
      <c r="R1743" s="540"/>
      <c r="S1743" s="540"/>
      <c r="T1743" s="540"/>
      <c r="U1743" s="540"/>
      <c r="V1743" s="540"/>
      <c r="W1743" s="540"/>
      <c r="X1743" s="540"/>
      <c r="Y1743" s="540"/>
      <c r="Z1743" s="540"/>
    </row>
    <row r="1744" spans="1:26" ht="19">
      <c r="A1744" s="631"/>
      <c r="B1744" s="631"/>
      <c r="C1744" s="631"/>
      <c r="D1744" s="832"/>
      <c r="E1744" s="631"/>
      <c r="F1744" s="631"/>
      <c r="G1744" s="631"/>
      <c r="H1744" s="833"/>
      <c r="I1744" s="834"/>
      <c r="J1744" s="834"/>
      <c r="K1744" s="835"/>
      <c r="L1744" s="835"/>
      <c r="M1744" s="835"/>
      <c r="N1744" s="835"/>
      <c r="O1744" s="835"/>
      <c r="P1744" s="835"/>
      <c r="Q1744" s="540"/>
      <c r="R1744" s="540"/>
      <c r="S1744" s="540"/>
      <c r="T1744" s="540"/>
      <c r="U1744" s="540"/>
      <c r="V1744" s="540"/>
      <c r="W1744" s="540"/>
      <c r="X1744" s="540"/>
      <c r="Y1744" s="540"/>
      <c r="Z1744" s="540"/>
    </row>
    <row r="1745" spans="1:26" ht="19">
      <c r="A1745" s="631"/>
      <c r="B1745" s="631"/>
      <c r="C1745" s="631"/>
      <c r="D1745" s="832"/>
      <c r="E1745" s="631"/>
      <c r="F1745" s="631"/>
      <c r="G1745" s="631"/>
      <c r="H1745" s="833"/>
      <c r="I1745" s="834"/>
      <c r="J1745" s="834"/>
      <c r="K1745" s="835"/>
      <c r="L1745" s="835"/>
      <c r="M1745" s="835"/>
      <c r="N1745" s="835"/>
      <c r="O1745" s="835"/>
      <c r="P1745" s="835"/>
      <c r="Q1745" s="540"/>
      <c r="R1745" s="540"/>
      <c r="S1745" s="540"/>
      <c r="T1745" s="540"/>
      <c r="U1745" s="540"/>
      <c r="V1745" s="540"/>
      <c r="W1745" s="540"/>
      <c r="X1745" s="540"/>
      <c r="Y1745" s="540"/>
      <c r="Z1745" s="540"/>
    </row>
    <row r="1746" spans="1:26" ht="19">
      <c r="A1746" s="631"/>
      <c r="B1746" s="631"/>
      <c r="C1746" s="631"/>
      <c r="D1746" s="832"/>
      <c r="E1746" s="631"/>
      <c r="F1746" s="631"/>
      <c r="G1746" s="631"/>
      <c r="H1746" s="833"/>
      <c r="I1746" s="834"/>
      <c r="J1746" s="834"/>
      <c r="K1746" s="835"/>
      <c r="L1746" s="835"/>
      <c r="M1746" s="835"/>
      <c r="N1746" s="835"/>
      <c r="O1746" s="835"/>
      <c r="P1746" s="835"/>
      <c r="Q1746" s="540"/>
      <c r="R1746" s="540"/>
      <c r="S1746" s="540"/>
      <c r="T1746" s="540"/>
      <c r="U1746" s="540"/>
      <c r="V1746" s="540"/>
      <c r="W1746" s="540"/>
      <c r="X1746" s="540"/>
      <c r="Y1746" s="540"/>
      <c r="Z1746" s="540"/>
    </row>
    <row r="1747" spans="1:26" ht="19">
      <c r="A1747" s="631"/>
      <c r="B1747" s="631"/>
      <c r="C1747" s="631"/>
      <c r="D1747" s="832"/>
      <c r="E1747" s="631"/>
      <c r="F1747" s="631"/>
      <c r="G1747" s="631"/>
      <c r="H1747" s="833"/>
      <c r="I1747" s="834"/>
      <c r="J1747" s="834"/>
      <c r="K1747" s="835"/>
      <c r="L1747" s="835"/>
      <c r="M1747" s="835"/>
      <c r="N1747" s="835"/>
      <c r="O1747" s="835"/>
      <c r="P1747" s="835"/>
      <c r="Q1747" s="540"/>
      <c r="R1747" s="540"/>
      <c r="S1747" s="540"/>
      <c r="T1747" s="540"/>
      <c r="U1747" s="540"/>
      <c r="V1747" s="540"/>
      <c r="W1747" s="540"/>
      <c r="X1747" s="540"/>
      <c r="Y1747" s="540"/>
      <c r="Z1747" s="540"/>
    </row>
    <row r="1748" spans="1:26" ht="19">
      <c r="A1748" s="631"/>
      <c r="B1748" s="631"/>
      <c r="C1748" s="631"/>
      <c r="D1748" s="832"/>
      <c r="E1748" s="631"/>
      <c r="F1748" s="631"/>
      <c r="G1748" s="631"/>
      <c r="H1748" s="833"/>
      <c r="I1748" s="834"/>
      <c r="J1748" s="834"/>
      <c r="K1748" s="835"/>
      <c r="L1748" s="835"/>
      <c r="M1748" s="835"/>
      <c r="N1748" s="835"/>
      <c r="O1748" s="835"/>
      <c r="P1748" s="835"/>
      <c r="Q1748" s="540"/>
      <c r="R1748" s="540"/>
      <c r="S1748" s="540"/>
      <c r="T1748" s="540"/>
      <c r="U1748" s="540"/>
      <c r="V1748" s="540"/>
      <c r="W1748" s="540"/>
      <c r="X1748" s="540"/>
      <c r="Y1748" s="540"/>
      <c r="Z1748" s="540"/>
    </row>
    <row r="1749" spans="1:26" ht="19">
      <c r="A1749" s="631"/>
      <c r="B1749" s="631"/>
      <c r="C1749" s="631"/>
      <c r="D1749" s="832"/>
      <c r="E1749" s="631"/>
      <c r="F1749" s="631"/>
      <c r="G1749" s="631"/>
      <c r="H1749" s="833"/>
      <c r="I1749" s="834"/>
      <c r="J1749" s="834"/>
      <c r="K1749" s="835"/>
      <c r="L1749" s="835"/>
      <c r="M1749" s="835"/>
      <c r="N1749" s="835"/>
      <c r="O1749" s="835"/>
      <c r="P1749" s="835"/>
      <c r="Q1749" s="540"/>
      <c r="R1749" s="540"/>
      <c r="S1749" s="540"/>
      <c r="T1749" s="540"/>
      <c r="U1749" s="540"/>
      <c r="V1749" s="540"/>
      <c r="W1749" s="540"/>
      <c r="X1749" s="540"/>
      <c r="Y1749" s="540"/>
      <c r="Z1749" s="540"/>
    </row>
    <row r="1750" spans="1:26" ht="19">
      <c r="A1750" s="631"/>
      <c r="B1750" s="631"/>
      <c r="C1750" s="631"/>
      <c r="D1750" s="832"/>
      <c r="E1750" s="631"/>
      <c r="F1750" s="631"/>
      <c r="G1750" s="631"/>
      <c r="H1750" s="833"/>
      <c r="I1750" s="834"/>
      <c r="J1750" s="834"/>
      <c r="K1750" s="835"/>
      <c r="L1750" s="835"/>
      <c r="M1750" s="835"/>
      <c r="N1750" s="835"/>
      <c r="O1750" s="835"/>
      <c r="P1750" s="835"/>
      <c r="Q1750" s="540"/>
      <c r="R1750" s="540"/>
      <c r="S1750" s="540"/>
      <c r="T1750" s="540"/>
      <c r="U1750" s="540"/>
      <c r="V1750" s="540"/>
      <c r="W1750" s="540"/>
      <c r="X1750" s="540"/>
      <c r="Y1750" s="540"/>
      <c r="Z1750" s="540"/>
    </row>
    <row r="1751" spans="1:26" ht="19">
      <c r="A1751" s="631"/>
      <c r="B1751" s="631"/>
      <c r="C1751" s="631"/>
      <c r="D1751" s="832"/>
      <c r="E1751" s="631"/>
      <c r="F1751" s="631"/>
      <c r="G1751" s="631"/>
      <c r="H1751" s="833"/>
      <c r="I1751" s="834"/>
      <c r="J1751" s="834"/>
      <c r="K1751" s="835"/>
      <c r="L1751" s="835"/>
      <c r="M1751" s="835"/>
      <c r="N1751" s="835"/>
      <c r="O1751" s="835"/>
      <c r="P1751" s="835"/>
      <c r="Q1751" s="540"/>
      <c r="R1751" s="540"/>
      <c r="S1751" s="540"/>
      <c r="T1751" s="540"/>
      <c r="U1751" s="540"/>
      <c r="V1751" s="540"/>
      <c r="W1751" s="540"/>
      <c r="X1751" s="540"/>
      <c r="Y1751" s="540"/>
      <c r="Z1751" s="540"/>
    </row>
    <row r="1752" spans="1:26" ht="19">
      <c r="A1752" s="631"/>
      <c r="B1752" s="631"/>
      <c r="C1752" s="631"/>
      <c r="D1752" s="832"/>
      <c r="E1752" s="631"/>
      <c r="F1752" s="631"/>
      <c r="G1752" s="631"/>
      <c r="H1752" s="833"/>
      <c r="I1752" s="834"/>
      <c r="J1752" s="834"/>
      <c r="K1752" s="835"/>
      <c r="L1752" s="835"/>
      <c r="M1752" s="835"/>
      <c r="N1752" s="835"/>
      <c r="O1752" s="835"/>
      <c r="P1752" s="835"/>
      <c r="Q1752" s="540"/>
      <c r="R1752" s="540"/>
      <c r="S1752" s="540"/>
      <c r="T1752" s="540"/>
      <c r="U1752" s="540"/>
      <c r="V1752" s="540"/>
      <c r="W1752" s="540"/>
      <c r="X1752" s="540"/>
      <c r="Y1752" s="540"/>
      <c r="Z1752" s="540"/>
    </row>
    <row r="1753" spans="1:26" ht="19">
      <c r="A1753" s="631"/>
      <c r="B1753" s="631"/>
      <c r="C1753" s="631"/>
      <c r="D1753" s="832"/>
      <c r="E1753" s="631"/>
      <c r="F1753" s="631"/>
      <c r="G1753" s="631"/>
      <c r="H1753" s="833"/>
      <c r="I1753" s="834"/>
      <c r="J1753" s="834"/>
      <c r="K1753" s="835"/>
      <c r="L1753" s="835"/>
      <c r="M1753" s="835"/>
      <c r="N1753" s="835"/>
      <c r="O1753" s="835"/>
      <c r="P1753" s="835"/>
      <c r="Q1753" s="540"/>
      <c r="R1753" s="540"/>
      <c r="S1753" s="540"/>
      <c r="T1753" s="540"/>
      <c r="U1753" s="540"/>
      <c r="V1753" s="540"/>
      <c r="W1753" s="540"/>
      <c r="X1753" s="540"/>
      <c r="Y1753" s="540"/>
      <c r="Z1753" s="540"/>
    </row>
    <row r="1754" spans="1:26" ht="19">
      <c r="A1754" s="631"/>
      <c r="B1754" s="631"/>
      <c r="C1754" s="631"/>
      <c r="D1754" s="832"/>
      <c r="E1754" s="631"/>
      <c r="F1754" s="631"/>
      <c r="G1754" s="631"/>
      <c r="H1754" s="833"/>
      <c r="I1754" s="834"/>
      <c r="J1754" s="834"/>
      <c r="K1754" s="835"/>
      <c r="L1754" s="835"/>
      <c r="M1754" s="835"/>
      <c r="N1754" s="835"/>
      <c r="O1754" s="835"/>
      <c r="P1754" s="835"/>
      <c r="Q1754" s="540"/>
      <c r="R1754" s="540"/>
      <c r="S1754" s="540"/>
      <c r="T1754" s="540"/>
      <c r="U1754" s="540"/>
      <c r="V1754" s="540"/>
      <c r="W1754" s="540"/>
      <c r="X1754" s="540"/>
      <c r="Y1754" s="540"/>
      <c r="Z1754" s="540"/>
    </row>
    <row r="1755" spans="1:26" ht="19">
      <c r="A1755" s="631"/>
      <c r="B1755" s="631"/>
      <c r="C1755" s="631"/>
      <c r="D1755" s="832"/>
      <c r="E1755" s="631"/>
      <c r="F1755" s="631"/>
      <c r="G1755" s="631"/>
      <c r="H1755" s="833"/>
      <c r="I1755" s="834"/>
      <c r="J1755" s="834"/>
      <c r="K1755" s="835"/>
      <c r="L1755" s="835"/>
      <c r="M1755" s="835"/>
      <c r="N1755" s="835"/>
      <c r="O1755" s="835"/>
      <c r="P1755" s="835"/>
      <c r="Q1755" s="540"/>
      <c r="R1755" s="540"/>
      <c r="S1755" s="540"/>
      <c r="T1755" s="540"/>
      <c r="U1755" s="540"/>
      <c r="V1755" s="540"/>
      <c r="W1755" s="540"/>
      <c r="X1755" s="540"/>
      <c r="Y1755" s="540"/>
      <c r="Z1755" s="540"/>
    </row>
    <row r="1756" spans="1:26" ht="19">
      <c r="A1756" s="631"/>
      <c r="B1756" s="631"/>
      <c r="C1756" s="631"/>
      <c r="D1756" s="832"/>
      <c r="E1756" s="631"/>
      <c r="F1756" s="631"/>
      <c r="G1756" s="631"/>
      <c r="H1756" s="833"/>
      <c r="I1756" s="834"/>
      <c r="J1756" s="834"/>
      <c r="K1756" s="835"/>
      <c r="L1756" s="835"/>
      <c r="M1756" s="835"/>
      <c r="N1756" s="835"/>
      <c r="O1756" s="835"/>
      <c r="P1756" s="835"/>
      <c r="Q1756" s="540"/>
      <c r="R1756" s="540"/>
      <c r="S1756" s="540"/>
      <c r="T1756" s="540"/>
      <c r="U1756" s="540"/>
      <c r="V1756" s="540"/>
      <c r="W1756" s="540"/>
      <c r="X1756" s="540"/>
      <c r="Y1756" s="540"/>
      <c r="Z1756" s="540"/>
    </row>
    <row r="1757" spans="1:26" ht="19">
      <c r="A1757" s="631"/>
      <c r="B1757" s="631"/>
      <c r="C1757" s="631"/>
      <c r="D1757" s="832"/>
      <c r="E1757" s="631"/>
      <c r="F1757" s="631"/>
      <c r="G1757" s="631"/>
      <c r="H1757" s="833"/>
      <c r="I1757" s="834"/>
      <c r="J1757" s="834"/>
      <c r="K1757" s="835"/>
      <c r="L1757" s="835"/>
      <c r="M1757" s="835"/>
      <c r="N1757" s="835"/>
      <c r="O1757" s="835"/>
      <c r="P1757" s="835"/>
      <c r="Q1757" s="540"/>
      <c r="R1757" s="540"/>
      <c r="S1757" s="540"/>
      <c r="T1757" s="540"/>
      <c r="U1757" s="540"/>
      <c r="V1757" s="540"/>
      <c r="W1757" s="540"/>
      <c r="X1757" s="540"/>
      <c r="Y1757" s="540"/>
      <c r="Z1757" s="540"/>
    </row>
    <row r="1758" spans="1:26" ht="19">
      <c r="A1758" s="631"/>
      <c r="B1758" s="631"/>
      <c r="C1758" s="631"/>
      <c r="D1758" s="832"/>
      <c r="E1758" s="631"/>
      <c r="F1758" s="631"/>
      <c r="G1758" s="631"/>
      <c r="H1758" s="833"/>
      <c r="I1758" s="834"/>
      <c r="J1758" s="834"/>
      <c r="K1758" s="835"/>
      <c r="L1758" s="835"/>
      <c r="M1758" s="835"/>
      <c r="N1758" s="835"/>
      <c r="O1758" s="835"/>
      <c r="P1758" s="835"/>
      <c r="Q1758" s="540"/>
      <c r="R1758" s="540"/>
      <c r="S1758" s="540"/>
      <c r="T1758" s="540"/>
      <c r="U1758" s="540"/>
      <c r="V1758" s="540"/>
      <c r="W1758" s="540"/>
      <c r="X1758" s="540"/>
      <c r="Y1758" s="540"/>
      <c r="Z1758" s="540"/>
    </row>
    <row r="1759" spans="1:26" ht="19">
      <c r="A1759" s="631"/>
      <c r="B1759" s="631"/>
      <c r="C1759" s="631"/>
      <c r="D1759" s="832"/>
      <c r="E1759" s="631"/>
      <c r="F1759" s="631"/>
      <c r="G1759" s="631"/>
      <c r="H1759" s="833"/>
      <c r="I1759" s="834"/>
      <c r="J1759" s="834"/>
      <c r="K1759" s="835"/>
      <c r="L1759" s="835"/>
      <c r="M1759" s="835"/>
      <c r="N1759" s="835"/>
      <c r="O1759" s="835"/>
      <c r="P1759" s="835"/>
      <c r="Q1759" s="540"/>
      <c r="R1759" s="540"/>
      <c r="S1759" s="540"/>
      <c r="T1759" s="540"/>
      <c r="U1759" s="540"/>
      <c r="V1759" s="540"/>
      <c r="W1759" s="540"/>
      <c r="X1759" s="540"/>
      <c r="Y1759" s="540"/>
      <c r="Z1759" s="540"/>
    </row>
    <row r="1760" spans="1:26" ht="19">
      <c r="A1760" s="631"/>
      <c r="B1760" s="631"/>
      <c r="C1760" s="631"/>
      <c r="D1760" s="832"/>
      <c r="E1760" s="631"/>
      <c r="F1760" s="631"/>
      <c r="G1760" s="631"/>
      <c r="H1760" s="833"/>
      <c r="I1760" s="834"/>
      <c r="J1760" s="834"/>
      <c r="K1760" s="835"/>
      <c r="L1760" s="835"/>
      <c r="M1760" s="835"/>
      <c r="N1760" s="835"/>
      <c r="O1760" s="835"/>
      <c r="P1760" s="835"/>
      <c r="Q1760" s="540"/>
      <c r="R1760" s="540"/>
      <c r="S1760" s="540"/>
      <c r="T1760" s="540"/>
      <c r="U1760" s="540"/>
      <c r="V1760" s="540"/>
      <c r="W1760" s="540"/>
      <c r="X1760" s="540"/>
      <c r="Y1760" s="540"/>
      <c r="Z1760" s="540"/>
    </row>
    <row r="1761" spans="1:26" ht="19">
      <c r="A1761" s="631"/>
      <c r="B1761" s="631"/>
      <c r="C1761" s="631"/>
      <c r="D1761" s="832"/>
      <c r="E1761" s="631"/>
      <c r="F1761" s="631"/>
      <c r="G1761" s="631"/>
      <c r="H1761" s="833"/>
      <c r="I1761" s="834"/>
      <c r="J1761" s="834"/>
      <c r="K1761" s="835"/>
      <c r="L1761" s="835"/>
      <c r="M1761" s="835"/>
      <c r="N1761" s="835"/>
      <c r="O1761" s="835"/>
      <c r="P1761" s="835"/>
      <c r="Q1761" s="540"/>
      <c r="R1761" s="540"/>
      <c r="S1761" s="540"/>
      <c r="T1761" s="540"/>
      <c r="U1761" s="540"/>
      <c r="V1761" s="540"/>
      <c r="W1761" s="540"/>
      <c r="X1761" s="540"/>
      <c r="Y1761" s="540"/>
      <c r="Z1761" s="540"/>
    </row>
    <row r="1762" spans="1:26" ht="19">
      <c r="A1762" s="631"/>
      <c r="B1762" s="631"/>
      <c r="C1762" s="631"/>
      <c r="D1762" s="832"/>
      <c r="E1762" s="631"/>
      <c r="F1762" s="631"/>
      <c r="G1762" s="631"/>
      <c r="H1762" s="833"/>
      <c r="I1762" s="834"/>
      <c r="J1762" s="834"/>
      <c r="K1762" s="835"/>
      <c r="L1762" s="835"/>
      <c r="M1762" s="835"/>
      <c r="N1762" s="835"/>
      <c r="O1762" s="835"/>
      <c r="P1762" s="835"/>
      <c r="Q1762" s="540"/>
      <c r="R1762" s="540"/>
      <c r="S1762" s="540"/>
      <c r="T1762" s="540"/>
      <c r="U1762" s="540"/>
      <c r="V1762" s="540"/>
      <c r="W1762" s="540"/>
      <c r="X1762" s="540"/>
      <c r="Y1762" s="540"/>
      <c r="Z1762" s="540"/>
    </row>
    <row r="1763" spans="1:26" ht="19">
      <c r="A1763" s="631"/>
      <c r="B1763" s="631"/>
      <c r="C1763" s="631"/>
      <c r="D1763" s="832"/>
      <c r="E1763" s="631"/>
      <c r="F1763" s="631"/>
      <c r="G1763" s="631"/>
      <c r="H1763" s="833"/>
      <c r="I1763" s="834"/>
      <c r="J1763" s="834"/>
      <c r="K1763" s="835"/>
      <c r="L1763" s="835"/>
      <c r="M1763" s="835"/>
      <c r="N1763" s="835"/>
      <c r="O1763" s="835"/>
      <c r="P1763" s="835"/>
      <c r="Q1763" s="540"/>
      <c r="R1763" s="540"/>
      <c r="S1763" s="540"/>
      <c r="T1763" s="540"/>
      <c r="U1763" s="540"/>
      <c r="V1763" s="540"/>
      <c r="W1763" s="540"/>
      <c r="X1763" s="540"/>
      <c r="Y1763" s="540"/>
      <c r="Z1763" s="540"/>
    </row>
    <row r="1764" spans="1:26" ht="19">
      <c r="A1764" s="631"/>
      <c r="B1764" s="631"/>
      <c r="C1764" s="631"/>
      <c r="D1764" s="832"/>
      <c r="E1764" s="631"/>
      <c r="F1764" s="631"/>
      <c r="G1764" s="631"/>
      <c r="H1764" s="833"/>
      <c r="I1764" s="834"/>
      <c r="J1764" s="834"/>
      <c r="K1764" s="835"/>
      <c r="L1764" s="835"/>
      <c r="M1764" s="835"/>
      <c r="N1764" s="835"/>
      <c r="O1764" s="835"/>
      <c r="P1764" s="835"/>
      <c r="Q1764" s="540"/>
      <c r="R1764" s="540"/>
      <c r="S1764" s="540"/>
      <c r="T1764" s="540"/>
      <c r="U1764" s="540"/>
      <c r="V1764" s="540"/>
      <c r="W1764" s="540"/>
      <c r="X1764" s="540"/>
      <c r="Y1764" s="540"/>
      <c r="Z1764" s="540"/>
    </row>
    <row r="1765" spans="1:26" ht="19">
      <c r="A1765" s="631"/>
      <c r="B1765" s="631"/>
      <c r="C1765" s="631"/>
      <c r="D1765" s="832"/>
      <c r="E1765" s="631"/>
      <c r="F1765" s="631"/>
      <c r="G1765" s="631"/>
      <c r="H1765" s="833"/>
      <c r="I1765" s="834"/>
      <c r="J1765" s="834"/>
      <c r="K1765" s="835"/>
      <c r="L1765" s="835"/>
      <c r="M1765" s="835"/>
      <c r="N1765" s="835"/>
      <c r="O1765" s="835"/>
      <c r="P1765" s="835"/>
      <c r="Q1765" s="540"/>
      <c r="R1765" s="540"/>
      <c r="S1765" s="540"/>
      <c r="T1765" s="540"/>
      <c r="U1765" s="540"/>
      <c r="V1765" s="540"/>
      <c r="W1765" s="540"/>
      <c r="X1765" s="540"/>
      <c r="Y1765" s="540"/>
      <c r="Z1765" s="540"/>
    </row>
    <row r="1766" spans="1:26" ht="19">
      <c r="A1766" s="631"/>
      <c r="B1766" s="631"/>
      <c r="C1766" s="631"/>
      <c r="D1766" s="832"/>
      <c r="E1766" s="631"/>
      <c r="F1766" s="631"/>
      <c r="G1766" s="631"/>
      <c r="H1766" s="833"/>
      <c r="I1766" s="834"/>
      <c r="J1766" s="834"/>
      <c r="K1766" s="835"/>
      <c r="L1766" s="835"/>
      <c r="M1766" s="835"/>
      <c r="N1766" s="835"/>
      <c r="O1766" s="835"/>
      <c r="P1766" s="835"/>
      <c r="Q1766" s="540"/>
      <c r="R1766" s="540"/>
      <c r="S1766" s="540"/>
      <c r="T1766" s="540"/>
      <c r="U1766" s="540"/>
      <c r="V1766" s="540"/>
      <c r="W1766" s="540"/>
      <c r="X1766" s="540"/>
      <c r="Y1766" s="540"/>
      <c r="Z1766" s="540"/>
    </row>
    <row r="1767" spans="1:26" ht="19">
      <c r="A1767" s="631"/>
      <c r="B1767" s="631"/>
      <c r="C1767" s="631"/>
      <c r="D1767" s="832"/>
      <c r="E1767" s="631"/>
      <c r="F1767" s="631"/>
      <c r="G1767" s="631"/>
      <c r="H1767" s="833"/>
      <c r="I1767" s="834"/>
      <c r="J1767" s="834"/>
      <c r="K1767" s="835"/>
      <c r="L1767" s="835"/>
      <c r="M1767" s="835"/>
      <c r="N1767" s="835"/>
      <c r="O1767" s="835"/>
      <c r="P1767" s="835"/>
      <c r="Q1767" s="540"/>
      <c r="R1767" s="540"/>
      <c r="S1767" s="540"/>
      <c r="T1767" s="540"/>
      <c r="U1767" s="540"/>
      <c r="V1767" s="540"/>
      <c r="W1767" s="540"/>
      <c r="X1767" s="540"/>
      <c r="Y1767" s="540"/>
      <c r="Z1767" s="540"/>
    </row>
    <row r="1768" spans="1:26" ht="19">
      <c r="A1768" s="631"/>
      <c r="B1768" s="631"/>
      <c r="C1768" s="631"/>
      <c r="D1768" s="832"/>
      <c r="E1768" s="631"/>
      <c r="F1768" s="631"/>
      <c r="G1768" s="631"/>
      <c r="H1768" s="833"/>
      <c r="I1768" s="834"/>
      <c r="J1768" s="834"/>
      <c r="K1768" s="835"/>
      <c r="L1768" s="835"/>
      <c r="M1768" s="835"/>
      <c r="N1768" s="835"/>
      <c r="O1768" s="835"/>
      <c r="P1768" s="835"/>
      <c r="Q1768" s="540"/>
      <c r="R1768" s="540"/>
      <c r="S1768" s="540"/>
      <c r="T1768" s="540"/>
      <c r="U1768" s="540"/>
      <c r="V1768" s="540"/>
      <c r="W1768" s="540"/>
      <c r="X1768" s="540"/>
      <c r="Y1768" s="540"/>
      <c r="Z1768" s="540"/>
    </row>
    <row r="1769" spans="1:26" ht="19">
      <c r="A1769" s="631"/>
      <c r="B1769" s="631"/>
      <c r="C1769" s="631"/>
      <c r="D1769" s="832"/>
      <c r="E1769" s="631"/>
      <c r="F1769" s="631"/>
      <c r="G1769" s="631"/>
      <c r="H1769" s="833"/>
      <c r="I1769" s="834"/>
      <c r="J1769" s="834"/>
      <c r="K1769" s="835"/>
      <c r="L1769" s="835"/>
      <c r="M1769" s="835"/>
      <c r="N1769" s="835"/>
      <c r="O1769" s="835"/>
      <c r="P1769" s="835"/>
      <c r="Q1769" s="540"/>
      <c r="R1769" s="540"/>
      <c r="S1769" s="540"/>
      <c r="T1769" s="540"/>
      <c r="U1769" s="540"/>
      <c r="V1769" s="540"/>
      <c r="W1769" s="540"/>
      <c r="X1769" s="540"/>
      <c r="Y1769" s="540"/>
      <c r="Z1769" s="540"/>
    </row>
    <row r="1770" spans="1:26" ht="19">
      <c r="A1770" s="631"/>
      <c r="B1770" s="631"/>
      <c r="C1770" s="631"/>
      <c r="D1770" s="832"/>
      <c r="E1770" s="631"/>
      <c r="F1770" s="631"/>
      <c r="G1770" s="631"/>
      <c r="H1770" s="833"/>
      <c r="I1770" s="834"/>
      <c r="J1770" s="834"/>
      <c r="K1770" s="835"/>
      <c r="L1770" s="835"/>
      <c r="M1770" s="835"/>
      <c r="N1770" s="835"/>
      <c r="O1770" s="835"/>
      <c r="P1770" s="835"/>
      <c r="Q1770" s="540"/>
      <c r="R1770" s="540"/>
      <c r="S1770" s="540"/>
      <c r="T1770" s="540"/>
      <c r="U1770" s="540"/>
      <c r="V1770" s="540"/>
      <c r="W1770" s="540"/>
      <c r="X1770" s="540"/>
      <c r="Y1770" s="540"/>
      <c r="Z1770" s="540"/>
    </row>
    <row r="1771" spans="1:26" ht="19">
      <c r="A1771" s="631"/>
      <c r="B1771" s="631"/>
      <c r="C1771" s="631"/>
      <c r="D1771" s="832"/>
      <c r="E1771" s="631"/>
      <c r="F1771" s="631"/>
      <c r="G1771" s="631"/>
      <c r="H1771" s="833"/>
      <c r="I1771" s="834"/>
      <c r="J1771" s="834"/>
      <c r="K1771" s="835"/>
      <c r="L1771" s="835"/>
      <c r="M1771" s="835"/>
      <c r="N1771" s="835"/>
      <c r="O1771" s="835"/>
      <c r="P1771" s="835"/>
      <c r="Q1771" s="540"/>
      <c r="R1771" s="540"/>
      <c r="S1771" s="540"/>
      <c r="T1771" s="540"/>
      <c r="U1771" s="540"/>
      <c r="V1771" s="540"/>
      <c r="W1771" s="540"/>
      <c r="X1771" s="540"/>
      <c r="Y1771" s="540"/>
      <c r="Z1771" s="540"/>
    </row>
    <row r="1772" spans="1:26" ht="19">
      <c r="A1772" s="631"/>
      <c r="B1772" s="631"/>
      <c r="C1772" s="631"/>
      <c r="D1772" s="832"/>
      <c r="E1772" s="631"/>
      <c r="F1772" s="631"/>
      <c r="G1772" s="631"/>
      <c r="H1772" s="833"/>
      <c r="I1772" s="834"/>
      <c r="J1772" s="834"/>
      <c r="K1772" s="835"/>
      <c r="L1772" s="835"/>
      <c r="M1772" s="835"/>
      <c r="N1772" s="835"/>
      <c r="O1772" s="835"/>
      <c r="P1772" s="835"/>
      <c r="Q1772" s="540"/>
      <c r="R1772" s="540"/>
      <c r="S1772" s="540"/>
      <c r="T1772" s="540"/>
      <c r="U1772" s="540"/>
      <c r="V1772" s="540"/>
      <c r="W1772" s="540"/>
      <c r="X1772" s="540"/>
      <c r="Y1772" s="540"/>
      <c r="Z1772" s="540"/>
    </row>
    <row r="1773" spans="1:26" ht="19">
      <c r="A1773" s="631"/>
      <c r="B1773" s="631"/>
      <c r="C1773" s="631"/>
      <c r="D1773" s="832"/>
      <c r="E1773" s="631"/>
      <c r="F1773" s="631"/>
      <c r="G1773" s="631"/>
      <c r="H1773" s="833"/>
      <c r="I1773" s="834"/>
      <c r="J1773" s="834"/>
      <c r="K1773" s="835"/>
      <c r="L1773" s="835"/>
      <c r="M1773" s="835"/>
      <c r="N1773" s="835"/>
      <c r="O1773" s="835"/>
      <c r="P1773" s="835"/>
      <c r="Q1773" s="540"/>
      <c r="R1773" s="540"/>
      <c r="S1773" s="540"/>
      <c r="T1773" s="540"/>
      <c r="U1773" s="540"/>
      <c r="V1773" s="540"/>
      <c r="W1773" s="540"/>
      <c r="X1773" s="540"/>
      <c r="Y1773" s="540"/>
      <c r="Z1773" s="540"/>
    </row>
    <row r="1774" spans="1:26" ht="19">
      <c r="A1774" s="631"/>
      <c r="B1774" s="631"/>
      <c r="C1774" s="631"/>
      <c r="D1774" s="832"/>
      <c r="E1774" s="631"/>
      <c r="F1774" s="631"/>
      <c r="G1774" s="631"/>
      <c r="H1774" s="833"/>
      <c r="I1774" s="834"/>
      <c r="J1774" s="834"/>
      <c r="K1774" s="835"/>
      <c r="L1774" s="835"/>
      <c r="M1774" s="835"/>
      <c r="N1774" s="835"/>
      <c r="O1774" s="835"/>
      <c r="P1774" s="835"/>
      <c r="Q1774" s="540"/>
      <c r="R1774" s="540"/>
      <c r="S1774" s="540"/>
      <c r="T1774" s="540"/>
      <c r="U1774" s="540"/>
      <c r="V1774" s="540"/>
      <c r="W1774" s="540"/>
      <c r="X1774" s="540"/>
      <c r="Y1774" s="540"/>
      <c r="Z1774" s="540"/>
    </row>
    <row r="1775" spans="1:26" ht="19">
      <c r="A1775" s="631"/>
      <c r="B1775" s="631"/>
      <c r="C1775" s="631"/>
      <c r="D1775" s="832"/>
      <c r="E1775" s="631"/>
      <c r="F1775" s="631"/>
      <c r="G1775" s="631"/>
      <c r="H1775" s="833"/>
      <c r="I1775" s="834"/>
      <c r="J1775" s="834"/>
      <c r="K1775" s="835"/>
      <c r="L1775" s="835"/>
      <c r="M1775" s="835"/>
      <c r="N1775" s="835"/>
      <c r="O1775" s="835"/>
      <c r="P1775" s="835"/>
      <c r="Q1775" s="540"/>
      <c r="R1775" s="540"/>
      <c r="S1775" s="540"/>
      <c r="T1775" s="540"/>
      <c r="U1775" s="540"/>
      <c r="V1775" s="540"/>
      <c r="W1775" s="540"/>
      <c r="X1775" s="540"/>
      <c r="Y1775" s="540"/>
      <c r="Z1775" s="540"/>
    </row>
    <row r="1776" spans="1:26" ht="19">
      <c r="A1776" s="631"/>
      <c r="B1776" s="631"/>
      <c r="C1776" s="631"/>
      <c r="D1776" s="832"/>
      <c r="E1776" s="631"/>
      <c r="F1776" s="631"/>
      <c r="G1776" s="631"/>
      <c r="H1776" s="833"/>
      <c r="I1776" s="834"/>
      <c r="J1776" s="834"/>
      <c r="K1776" s="835"/>
      <c r="L1776" s="835"/>
      <c r="M1776" s="835"/>
      <c r="N1776" s="835"/>
      <c r="O1776" s="835"/>
      <c r="P1776" s="835"/>
      <c r="Q1776" s="540"/>
      <c r="R1776" s="540"/>
      <c r="S1776" s="540"/>
      <c r="T1776" s="540"/>
      <c r="U1776" s="540"/>
      <c r="V1776" s="540"/>
      <c r="W1776" s="540"/>
      <c r="X1776" s="540"/>
      <c r="Y1776" s="540"/>
      <c r="Z1776" s="540"/>
    </row>
    <row r="1777" spans="1:26" ht="19">
      <c r="A1777" s="631"/>
      <c r="B1777" s="631"/>
      <c r="C1777" s="631"/>
      <c r="D1777" s="832"/>
      <c r="E1777" s="631"/>
      <c r="F1777" s="631"/>
      <c r="G1777" s="631"/>
      <c r="H1777" s="833"/>
      <c r="I1777" s="834"/>
      <c r="J1777" s="834"/>
      <c r="K1777" s="835"/>
      <c r="L1777" s="835"/>
      <c r="M1777" s="835"/>
      <c r="N1777" s="835"/>
      <c r="O1777" s="835"/>
      <c r="P1777" s="835"/>
      <c r="Q1777" s="540"/>
      <c r="R1777" s="540"/>
      <c r="S1777" s="540"/>
      <c r="T1777" s="540"/>
      <c r="U1777" s="540"/>
      <c r="V1777" s="540"/>
      <c r="W1777" s="540"/>
      <c r="X1777" s="540"/>
      <c r="Y1777" s="540"/>
      <c r="Z1777" s="540"/>
    </row>
    <row r="1778" spans="1:26" ht="19">
      <c r="A1778" s="631"/>
      <c r="B1778" s="631"/>
      <c r="C1778" s="631"/>
      <c r="D1778" s="832"/>
      <c r="E1778" s="631"/>
      <c r="F1778" s="631"/>
      <c r="G1778" s="631"/>
      <c r="H1778" s="833"/>
      <c r="I1778" s="834"/>
      <c r="J1778" s="834"/>
      <c r="K1778" s="835"/>
      <c r="L1778" s="835"/>
      <c r="M1778" s="835"/>
      <c r="N1778" s="835"/>
      <c r="O1778" s="835"/>
      <c r="P1778" s="835"/>
      <c r="Q1778" s="540"/>
      <c r="R1778" s="540"/>
      <c r="S1778" s="540"/>
      <c r="T1778" s="540"/>
      <c r="U1778" s="540"/>
      <c r="V1778" s="540"/>
      <c r="W1778" s="540"/>
      <c r="X1778" s="540"/>
      <c r="Y1778" s="540"/>
      <c r="Z1778" s="540"/>
    </row>
    <row r="1779" spans="1:26" ht="19">
      <c r="A1779" s="631"/>
      <c r="B1779" s="631"/>
      <c r="C1779" s="631"/>
      <c r="D1779" s="832"/>
      <c r="E1779" s="631"/>
      <c r="F1779" s="631"/>
      <c r="G1779" s="631"/>
      <c r="H1779" s="833"/>
      <c r="I1779" s="834"/>
      <c r="J1779" s="834"/>
      <c r="K1779" s="835"/>
      <c r="L1779" s="835"/>
      <c r="M1779" s="835"/>
      <c r="N1779" s="835"/>
      <c r="O1779" s="835"/>
      <c r="P1779" s="835"/>
      <c r="Q1779" s="540"/>
      <c r="R1779" s="540"/>
      <c r="S1779" s="540"/>
      <c r="T1779" s="540"/>
      <c r="U1779" s="540"/>
      <c r="V1779" s="540"/>
      <c r="W1779" s="540"/>
      <c r="X1779" s="540"/>
      <c r="Y1779" s="540"/>
      <c r="Z1779" s="540"/>
    </row>
    <row r="1780" spans="1:26" ht="19">
      <c r="A1780" s="631"/>
      <c r="B1780" s="631"/>
      <c r="C1780" s="631"/>
      <c r="D1780" s="832"/>
      <c r="E1780" s="631"/>
      <c r="F1780" s="631"/>
      <c r="G1780" s="631"/>
      <c r="H1780" s="833"/>
      <c r="I1780" s="834"/>
      <c r="J1780" s="834"/>
      <c r="K1780" s="835"/>
      <c r="L1780" s="835"/>
      <c r="M1780" s="835"/>
      <c r="N1780" s="835"/>
      <c r="O1780" s="835"/>
      <c r="P1780" s="835"/>
      <c r="Q1780" s="540"/>
      <c r="R1780" s="540"/>
      <c r="S1780" s="540"/>
      <c r="T1780" s="540"/>
      <c r="U1780" s="540"/>
      <c r="V1780" s="540"/>
      <c r="W1780" s="540"/>
      <c r="X1780" s="540"/>
      <c r="Y1780" s="540"/>
      <c r="Z1780" s="540"/>
    </row>
    <row r="1781" spans="1:26" ht="19">
      <c r="A1781" s="631"/>
      <c r="B1781" s="631"/>
      <c r="C1781" s="631"/>
      <c r="D1781" s="832"/>
      <c r="E1781" s="631"/>
      <c r="F1781" s="631"/>
      <c r="G1781" s="631"/>
      <c r="H1781" s="833"/>
      <c r="I1781" s="834"/>
      <c r="J1781" s="834"/>
      <c r="K1781" s="835"/>
      <c r="L1781" s="835"/>
      <c r="M1781" s="835"/>
      <c r="N1781" s="835"/>
      <c r="O1781" s="835"/>
      <c r="P1781" s="835"/>
      <c r="Q1781" s="540"/>
      <c r="R1781" s="540"/>
      <c r="S1781" s="540"/>
      <c r="T1781" s="540"/>
      <c r="U1781" s="540"/>
      <c r="V1781" s="540"/>
      <c r="W1781" s="540"/>
      <c r="X1781" s="540"/>
      <c r="Y1781" s="540"/>
      <c r="Z1781" s="540"/>
    </row>
    <row r="1782" spans="1:26" ht="19">
      <c r="A1782" s="631"/>
      <c r="B1782" s="631"/>
      <c r="C1782" s="631"/>
      <c r="D1782" s="832"/>
      <c r="E1782" s="631"/>
      <c r="F1782" s="631"/>
      <c r="G1782" s="631"/>
      <c r="H1782" s="833"/>
      <c r="I1782" s="834"/>
      <c r="J1782" s="834"/>
      <c r="K1782" s="835"/>
      <c r="L1782" s="835"/>
      <c r="M1782" s="835"/>
      <c r="N1782" s="835"/>
      <c r="O1782" s="835"/>
      <c r="P1782" s="835"/>
      <c r="Q1782" s="540"/>
      <c r="R1782" s="540"/>
      <c r="S1782" s="540"/>
      <c r="T1782" s="540"/>
      <c r="U1782" s="540"/>
      <c r="V1782" s="540"/>
      <c r="W1782" s="540"/>
      <c r="X1782" s="540"/>
      <c r="Y1782" s="540"/>
      <c r="Z1782" s="540"/>
    </row>
    <row r="1783" spans="1:26" ht="19">
      <c r="A1783" s="631"/>
      <c r="B1783" s="631"/>
      <c r="C1783" s="631"/>
      <c r="D1783" s="832"/>
      <c r="E1783" s="631"/>
      <c r="F1783" s="631"/>
      <c r="G1783" s="631"/>
      <c r="H1783" s="833"/>
      <c r="I1783" s="834"/>
      <c r="J1783" s="834"/>
      <c r="K1783" s="835"/>
      <c r="L1783" s="835"/>
      <c r="M1783" s="835"/>
      <c r="N1783" s="835"/>
      <c r="O1783" s="835"/>
      <c r="P1783" s="835"/>
      <c r="Q1783" s="540"/>
      <c r="R1783" s="540"/>
      <c r="S1783" s="540"/>
      <c r="T1783" s="540"/>
      <c r="U1783" s="540"/>
      <c r="V1783" s="540"/>
      <c r="W1783" s="540"/>
      <c r="X1783" s="540"/>
      <c r="Y1783" s="540"/>
      <c r="Z1783" s="540"/>
    </row>
    <row r="1784" spans="1:26" ht="19">
      <c r="A1784" s="631"/>
      <c r="B1784" s="631"/>
      <c r="C1784" s="631"/>
      <c r="D1784" s="832"/>
      <c r="E1784" s="631"/>
      <c r="F1784" s="631"/>
      <c r="G1784" s="631"/>
      <c r="H1784" s="833"/>
      <c r="I1784" s="834"/>
      <c r="J1784" s="834"/>
      <c r="K1784" s="835"/>
      <c r="L1784" s="835"/>
      <c r="M1784" s="835"/>
      <c r="N1784" s="835"/>
      <c r="O1784" s="835"/>
      <c r="P1784" s="835"/>
      <c r="Q1784" s="540"/>
      <c r="R1784" s="540"/>
      <c r="S1784" s="540"/>
      <c r="T1784" s="540"/>
      <c r="U1784" s="540"/>
      <c r="V1784" s="540"/>
      <c r="W1784" s="540"/>
      <c r="X1784" s="540"/>
      <c r="Y1784" s="540"/>
      <c r="Z1784" s="540"/>
    </row>
    <row r="1785" spans="1:26" ht="19">
      <c r="A1785" s="631"/>
      <c r="B1785" s="631"/>
      <c r="C1785" s="631"/>
      <c r="D1785" s="832"/>
      <c r="E1785" s="631"/>
      <c r="F1785" s="631"/>
      <c r="G1785" s="631"/>
      <c r="H1785" s="833"/>
      <c r="I1785" s="834"/>
      <c r="J1785" s="834"/>
      <c r="K1785" s="835"/>
      <c r="L1785" s="835"/>
      <c r="M1785" s="835"/>
      <c r="N1785" s="835"/>
      <c r="O1785" s="835"/>
      <c r="P1785" s="835"/>
      <c r="Q1785" s="540"/>
      <c r="R1785" s="540"/>
      <c r="S1785" s="540"/>
      <c r="T1785" s="540"/>
      <c r="U1785" s="540"/>
      <c r="V1785" s="540"/>
      <c r="W1785" s="540"/>
      <c r="X1785" s="540"/>
      <c r="Y1785" s="540"/>
      <c r="Z1785" s="540"/>
    </row>
    <row r="1786" spans="1:26" ht="19">
      <c r="A1786" s="631"/>
      <c r="B1786" s="631"/>
      <c r="C1786" s="631"/>
      <c r="D1786" s="832"/>
      <c r="E1786" s="631"/>
      <c r="F1786" s="631"/>
      <c r="G1786" s="631"/>
      <c r="H1786" s="833"/>
      <c r="I1786" s="834"/>
      <c r="J1786" s="834"/>
      <c r="K1786" s="835"/>
      <c r="L1786" s="835"/>
      <c r="M1786" s="835"/>
      <c r="N1786" s="835"/>
      <c r="O1786" s="835"/>
      <c r="P1786" s="835"/>
      <c r="Q1786" s="540"/>
      <c r="R1786" s="540"/>
      <c r="S1786" s="540"/>
      <c r="T1786" s="540"/>
      <c r="U1786" s="540"/>
      <c r="V1786" s="540"/>
      <c r="W1786" s="540"/>
      <c r="X1786" s="540"/>
      <c r="Y1786" s="540"/>
      <c r="Z1786" s="540"/>
    </row>
    <row r="1787" spans="1:26" ht="19">
      <c r="A1787" s="631"/>
      <c r="B1787" s="631"/>
      <c r="C1787" s="631"/>
      <c r="D1787" s="832"/>
      <c r="E1787" s="631"/>
      <c r="F1787" s="631"/>
      <c r="G1787" s="631"/>
      <c r="H1787" s="833"/>
      <c r="I1787" s="834"/>
      <c r="J1787" s="834"/>
      <c r="K1787" s="835"/>
      <c r="L1787" s="835"/>
      <c r="M1787" s="835"/>
      <c r="N1787" s="835"/>
      <c r="O1787" s="835"/>
      <c r="P1787" s="835"/>
      <c r="Q1787" s="540"/>
      <c r="R1787" s="540"/>
      <c r="S1787" s="540"/>
      <c r="T1787" s="540"/>
      <c r="U1787" s="540"/>
      <c r="V1787" s="540"/>
      <c r="W1787" s="540"/>
      <c r="X1787" s="540"/>
      <c r="Y1787" s="540"/>
      <c r="Z1787" s="540"/>
    </row>
    <row r="1788" spans="1:26" ht="19">
      <c r="A1788" s="631"/>
      <c r="B1788" s="631"/>
      <c r="C1788" s="631"/>
      <c r="D1788" s="832"/>
      <c r="E1788" s="631"/>
      <c r="F1788" s="631"/>
      <c r="G1788" s="631"/>
      <c r="H1788" s="833"/>
      <c r="I1788" s="834"/>
      <c r="J1788" s="834"/>
      <c r="K1788" s="835"/>
      <c r="L1788" s="835"/>
      <c r="M1788" s="835"/>
      <c r="N1788" s="835"/>
      <c r="O1788" s="835"/>
      <c r="P1788" s="835"/>
      <c r="Q1788" s="540"/>
      <c r="R1788" s="540"/>
      <c r="S1788" s="540"/>
      <c r="T1788" s="540"/>
      <c r="U1788" s="540"/>
      <c r="V1788" s="540"/>
      <c r="W1788" s="540"/>
      <c r="X1788" s="540"/>
      <c r="Y1788" s="540"/>
      <c r="Z1788" s="540"/>
    </row>
    <row r="1789" spans="1:26" ht="19">
      <c r="A1789" s="631"/>
      <c r="B1789" s="631"/>
      <c r="C1789" s="631"/>
      <c r="D1789" s="832"/>
      <c r="E1789" s="631"/>
      <c r="F1789" s="631"/>
      <c r="G1789" s="631"/>
      <c r="H1789" s="833"/>
      <c r="I1789" s="834"/>
      <c r="J1789" s="834"/>
      <c r="K1789" s="835"/>
      <c r="L1789" s="835"/>
      <c r="M1789" s="835"/>
      <c r="N1789" s="835"/>
      <c r="O1789" s="835"/>
      <c r="P1789" s="835"/>
      <c r="Q1789" s="540"/>
      <c r="R1789" s="540"/>
      <c r="S1789" s="540"/>
      <c r="T1789" s="540"/>
      <c r="U1789" s="540"/>
      <c r="V1789" s="540"/>
      <c r="W1789" s="540"/>
      <c r="X1789" s="540"/>
      <c r="Y1789" s="540"/>
      <c r="Z1789" s="540"/>
    </row>
    <row r="1790" spans="1:26" ht="19">
      <c r="A1790" s="631"/>
      <c r="B1790" s="631"/>
      <c r="C1790" s="631"/>
      <c r="D1790" s="832"/>
      <c r="E1790" s="631"/>
      <c r="F1790" s="631"/>
      <c r="G1790" s="631"/>
      <c r="H1790" s="833"/>
      <c r="I1790" s="834"/>
      <c r="J1790" s="834"/>
      <c r="K1790" s="835"/>
      <c r="L1790" s="835"/>
      <c r="M1790" s="835"/>
      <c r="N1790" s="835"/>
      <c r="O1790" s="835"/>
      <c r="P1790" s="835"/>
      <c r="Q1790" s="540"/>
      <c r="R1790" s="540"/>
      <c r="S1790" s="540"/>
      <c r="T1790" s="540"/>
      <c r="U1790" s="540"/>
      <c r="V1790" s="540"/>
      <c r="W1790" s="540"/>
      <c r="X1790" s="540"/>
      <c r="Y1790" s="540"/>
      <c r="Z1790" s="540"/>
    </row>
    <row r="1791" spans="1:26" ht="19">
      <c r="A1791" s="631"/>
      <c r="B1791" s="631"/>
      <c r="C1791" s="631"/>
      <c r="D1791" s="832"/>
      <c r="E1791" s="631"/>
      <c r="F1791" s="631"/>
      <c r="G1791" s="631"/>
      <c r="H1791" s="833"/>
      <c r="I1791" s="834"/>
      <c r="J1791" s="834"/>
      <c r="K1791" s="835"/>
      <c r="L1791" s="835"/>
      <c r="M1791" s="835"/>
      <c r="N1791" s="835"/>
      <c r="O1791" s="835"/>
      <c r="P1791" s="835"/>
      <c r="Q1791" s="540"/>
      <c r="R1791" s="540"/>
      <c r="S1791" s="540"/>
      <c r="T1791" s="540"/>
      <c r="U1791" s="540"/>
      <c r="V1791" s="540"/>
      <c r="W1791" s="540"/>
      <c r="X1791" s="540"/>
      <c r="Y1791" s="540"/>
      <c r="Z1791" s="540"/>
    </row>
    <row r="1792" spans="1:26" ht="19">
      <c r="A1792" s="631"/>
      <c r="B1792" s="631"/>
      <c r="C1792" s="631"/>
      <c r="D1792" s="832"/>
      <c r="E1792" s="631"/>
      <c r="F1792" s="631"/>
      <c r="G1792" s="631"/>
      <c r="H1792" s="833"/>
      <c r="I1792" s="834"/>
      <c r="J1792" s="834"/>
      <c r="K1792" s="835"/>
      <c r="L1792" s="835"/>
      <c r="M1792" s="835"/>
      <c r="N1792" s="835"/>
      <c r="O1792" s="835"/>
      <c r="P1792" s="835"/>
      <c r="Q1792" s="540"/>
      <c r="R1792" s="540"/>
      <c r="S1792" s="540"/>
      <c r="T1792" s="540"/>
      <c r="U1792" s="540"/>
      <c r="V1792" s="540"/>
      <c r="W1792" s="540"/>
      <c r="X1792" s="540"/>
      <c r="Y1792" s="540"/>
      <c r="Z1792" s="540"/>
    </row>
    <row r="1793" spans="1:26" ht="19">
      <c r="A1793" s="631"/>
      <c r="B1793" s="631"/>
      <c r="C1793" s="631"/>
      <c r="D1793" s="832"/>
      <c r="E1793" s="631"/>
      <c r="F1793" s="631"/>
      <c r="G1793" s="631"/>
      <c r="H1793" s="833"/>
      <c r="I1793" s="834"/>
      <c r="J1793" s="834"/>
      <c r="K1793" s="835"/>
      <c r="L1793" s="835"/>
      <c r="M1793" s="835"/>
      <c r="N1793" s="835"/>
      <c r="O1793" s="835"/>
      <c r="P1793" s="835"/>
      <c r="Q1793" s="540"/>
      <c r="R1793" s="540"/>
      <c r="S1793" s="540"/>
      <c r="T1793" s="540"/>
      <c r="U1793" s="540"/>
      <c r="V1793" s="540"/>
      <c r="W1793" s="540"/>
      <c r="X1793" s="540"/>
      <c r="Y1793" s="540"/>
      <c r="Z1793" s="540"/>
    </row>
    <row r="1794" spans="1:26" ht="19">
      <c r="A1794" s="631"/>
      <c r="B1794" s="631"/>
      <c r="C1794" s="631"/>
      <c r="D1794" s="832"/>
      <c r="E1794" s="631"/>
      <c r="F1794" s="631"/>
      <c r="G1794" s="631"/>
      <c r="H1794" s="833"/>
      <c r="I1794" s="834"/>
      <c r="J1794" s="834"/>
      <c r="K1794" s="835"/>
      <c r="L1794" s="835"/>
      <c r="M1794" s="835"/>
      <c r="N1794" s="835"/>
      <c r="O1794" s="835"/>
      <c r="P1794" s="835"/>
      <c r="Q1794" s="540"/>
      <c r="R1794" s="540"/>
      <c r="S1794" s="540"/>
      <c r="T1794" s="540"/>
      <c r="U1794" s="540"/>
      <c r="V1794" s="540"/>
      <c r="W1794" s="540"/>
      <c r="X1794" s="540"/>
      <c r="Y1794" s="540"/>
      <c r="Z1794" s="540"/>
    </row>
    <row r="1795" spans="1:26" ht="19">
      <c r="A1795" s="631"/>
      <c r="B1795" s="631"/>
      <c r="C1795" s="631"/>
      <c r="D1795" s="832"/>
      <c r="E1795" s="631"/>
      <c r="F1795" s="631"/>
      <c r="G1795" s="631"/>
      <c r="H1795" s="833"/>
      <c r="I1795" s="834"/>
      <c r="J1795" s="834"/>
      <c r="K1795" s="835"/>
      <c r="L1795" s="835"/>
      <c r="M1795" s="835"/>
      <c r="N1795" s="835"/>
      <c r="O1795" s="835"/>
      <c r="P1795" s="835"/>
      <c r="Q1795" s="540"/>
      <c r="R1795" s="540"/>
      <c r="S1795" s="540"/>
      <c r="T1795" s="540"/>
      <c r="U1795" s="540"/>
      <c r="V1795" s="540"/>
      <c r="W1795" s="540"/>
      <c r="X1795" s="540"/>
      <c r="Y1795" s="540"/>
      <c r="Z1795" s="540"/>
    </row>
    <row r="1796" spans="1:26" ht="19">
      <c r="A1796" s="631"/>
      <c r="B1796" s="631"/>
      <c r="C1796" s="631"/>
      <c r="D1796" s="832"/>
      <c r="E1796" s="631"/>
      <c r="F1796" s="631"/>
      <c r="G1796" s="631"/>
      <c r="H1796" s="833"/>
      <c r="I1796" s="834"/>
      <c r="J1796" s="834"/>
      <c r="K1796" s="835"/>
      <c r="L1796" s="835"/>
      <c r="M1796" s="835"/>
      <c r="N1796" s="835"/>
      <c r="O1796" s="835"/>
      <c r="P1796" s="835"/>
      <c r="Q1796" s="540"/>
      <c r="R1796" s="540"/>
      <c r="S1796" s="540"/>
      <c r="T1796" s="540"/>
      <c r="U1796" s="540"/>
      <c r="V1796" s="540"/>
      <c r="W1796" s="540"/>
      <c r="X1796" s="540"/>
      <c r="Y1796" s="540"/>
      <c r="Z1796" s="540"/>
    </row>
    <row r="1797" spans="1:26" ht="19">
      <c r="A1797" s="631"/>
      <c r="B1797" s="631"/>
      <c r="C1797" s="631"/>
      <c r="D1797" s="832"/>
      <c r="E1797" s="631"/>
      <c r="F1797" s="631"/>
      <c r="G1797" s="631"/>
      <c r="H1797" s="833"/>
      <c r="I1797" s="834"/>
      <c r="J1797" s="834"/>
      <c r="K1797" s="835"/>
      <c r="L1797" s="835"/>
      <c r="M1797" s="835"/>
      <c r="N1797" s="835"/>
      <c r="O1797" s="835"/>
      <c r="P1797" s="835"/>
      <c r="Q1797" s="540"/>
      <c r="R1797" s="540"/>
      <c r="S1797" s="540"/>
      <c r="T1797" s="540"/>
      <c r="U1797" s="540"/>
      <c r="V1797" s="540"/>
      <c r="W1797" s="540"/>
      <c r="X1797" s="540"/>
      <c r="Y1797" s="540"/>
      <c r="Z1797" s="540"/>
    </row>
    <row r="1798" spans="1:26" ht="19">
      <c r="A1798" s="631"/>
      <c r="B1798" s="631"/>
      <c r="C1798" s="631"/>
      <c r="D1798" s="832"/>
      <c r="E1798" s="631"/>
      <c r="F1798" s="631"/>
      <c r="G1798" s="631"/>
      <c r="H1798" s="833"/>
      <c r="I1798" s="834"/>
      <c r="J1798" s="834"/>
      <c r="K1798" s="835"/>
      <c r="L1798" s="835"/>
      <c r="M1798" s="835"/>
      <c r="N1798" s="835"/>
      <c r="O1798" s="835"/>
      <c r="P1798" s="835"/>
      <c r="Q1798" s="540"/>
      <c r="R1798" s="540"/>
      <c r="S1798" s="540"/>
      <c r="T1798" s="540"/>
      <c r="U1798" s="540"/>
      <c r="V1798" s="540"/>
      <c r="W1798" s="540"/>
      <c r="X1798" s="540"/>
      <c r="Y1798" s="540"/>
      <c r="Z1798" s="540"/>
    </row>
    <row r="1799" spans="1:26" ht="19">
      <c r="A1799" s="631"/>
      <c r="B1799" s="631"/>
      <c r="C1799" s="631"/>
      <c r="D1799" s="832"/>
      <c r="E1799" s="631"/>
      <c r="F1799" s="631"/>
      <c r="G1799" s="631"/>
      <c r="H1799" s="833"/>
      <c r="I1799" s="834"/>
      <c r="J1799" s="834"/>
      <c r="K1799" s="835"/>
      <c r="L1799" s="835"/>
      <c r="M1799" s="835"/>
      <c r="N1799" s="835"/>
      <c r="O1799" s="835"/>
      <c r="P1799" s="835"/>
      <c r="Q1799" s="540"/>
      <c r="R1799" s="540"/>
      <c r="S1799" s="540"/>
      <c r="T1799" s="540"/>
      <c r="U1799" s="540"/>
      <c r="V1799" s="540"/>
      <c r="W1799" s="540"/>
      <c r="X1799" s="540"/>
      <c r="Y1799" s="540"/>
      <c r="Z1799" s="540"/>
    </row>
    <row r="1800" spans="1:26" ht="19">
      <c r="A1800" s="631"/>
      <c r="B1800" s="631"/>
      <c r="C1800" s="631"/>
      <c r="D1800" s="832"/>
      <c r="E1800" s="631"/>
      <c r="F1800" s="631"/>
      <c r="G1800" s="631"/>
      <c r="H1800" s="833"/>
      <c r="I1800" s="834"/>
      <c r="J1800" s="834"/>
      <c r="K1800" s="835"/>
      <c r="L1800" s="835"/>
      <c r="M1800" s="835"/>
      <c r="N1800" s="835"/>
      <c r="O1800" s="835"/>
      <c r="P1800" s="835"/>
      <c r="Q1800" s="540"/>
      <c r="R1800" s="540"/>
      <c r="S1800" s="540"/>
      <c r="T1800" s="540"/>
      <c r="U1800" s="540"/>
      <c r="V1800" s="540"/>
      <c r="W1800" s="540"/>
      <c r="X1800" s="540"/>
      <c r="Y1800" s="540"/>
      <c r="Z1800" s="540"/>
    </row>
    <row r="1801" spans="1:26" ht="19">
      <c r="A1801" s="631"/>
      <c r="B1801" s="631"/>
      <c r="C1801" s="631"/>
      <c r="D1801" s="832"/>
      <c r="E1801" s="631"/>
      <c r="F1801" s="631"/>
      <c r="G1801" s="631"/>
      <c r="H1801" s="833"/>
      <c r="I1801" s="834"/>
      <c r="J1801" s="834"/>
      <c r="K1801" s="835"/>
      <c r="L1801" s="835"/>
      <c r="M1801" s="835"/>
      <c r="N1801" s="835"/>
      <c r="O1801" s="835"/>
      <c r="P1801" s="835"/>
      <c r="Q1801" s="540"/>
      <c r="R1801" s="540"/>
      <c r="S1801" s="540"/>
      <c r="T1801" s="540"/>
      <c r="U1801" s="540"/>
      <c r="V1801" s="540"/>
      <c r="W1801" s="540"/>
      <c r="X1801" s="540"/>
      <c r="Y1801" s="540"/>
      <c r="Z1801" s="540"/>
    </row>
    <row r="1802" spans="1:26" ht="19">
      <c r="A1802" s="631"/>
      <c r="B1802" s="631"/>
      <c r="C1802" s="631"/>
      <c r="D1802" s="832"/>
      <c r="E1802" s="631"/>
      <c r="F1802" s="631"/>
      <c r="G1802" s="631"/>
      <c r="H1802" s="833"/>
      <c r="I1802" s="834"/>
      <c r="J1802" s="834"/>
      <c r="K1802" s="835"/>
      <c r="L1802" s="835"/>
      <c r="M1802" s="835"/>
      <c r="N1802" s="835"/>
      <c r="O1802" s="835"/>
      <c r="P1802" s="835"/>
      <c r="Q1802" s="540"/>
      <c r="R1802" s="540"/>
      <c r="S1802" s="540"/>
      <c r="T1802" s="540"/>
      <c r="U1802" s="540"/>
      <c r="V1802" s="540"/>
      <c r="W1802" s="540"/>
      <c r="X1802" s="540"/>
      <c r="Y1802" s="540"/>
      <c r="Z1802" s="540"/>
    </row>
    <row r="1803" spans="1:26" ht="19">
      <c r="A1803" s="631"/>
      <c r="B1803" s="631"/>
      <c r="C1803" s="631"/>
      <c r="D1803" s="832"/>
      <c r="E1803" s="631"/>
      <c r="F1803" s="631"/>
      <c r="G1803" s="631"/>
      <c r="H1803" s="833"/>
      <c r="I1803" s="834"/>
      <c r="J1803" s="834"/>
      <c r="K1803" s="835"/>
      <c r="L1803" s="835"/>
      <c r="M1803" s="835"/>
      <c r="N1803" s="835"/>
      <c r="O1803" s="835"/>
      <c r="P1803" s="835"/>
      <c r="Q1803" s="540"/>
      <c r="R1803" s="540"/>
      <c r="S1803" s="540"/>
      <c r="T1803" s="540"/>
      <c r="U1803" s="540"/>
      <c r="V1803" s="540"/>
      <c r="W1803" s="540"/>
      <c r="X1803" s="540"/>
      <c r="Y1803" s="540"/>
      <c r="Z1803" s="540"/>
    </row>
    <row r="1804" spans="1:26" ht="19">
      <c r="A1804" s="631"/>
      <c r="B1804" s="631"/>
      <c r="C1804" s="631"/>
      <c r="D1804" s="832"/>
      <c r="E1804" s="631"/>
      <c r="F1804" s="631"/>
      <c r="G1804" s="631"/>
      <c r="H1804" s="833"/>
      <c r="I1804" s="834"/>
      <c r="J1804" s="834"/>
      <c r="K1804" s="835"/>
      <c r="L1804" s="835"/>
      <c r="M1804" s="835"/>
      <c r="N1804" s="835"/>
      <c r="O1804" s="835"/>
      <c r="P1804" s="835"/>
      <c r="Q1804" s="540"/>
      <c r="R1804" s="540"/>
      <c r="S1804" s="540"/>
      <c r="T1804" s="540"/>
      <c r="U1804" s="540"/>
      <c r="V1804" s="540"/>
      <c r="W1804" s="540"/>
      <c r="X1804" s="540"/>
      <c r="Y1804" s="540"/>
      <c r="Z1804" s="540"/>
    </row>
    <row r="1805" spans="1:26" ht="19">
      <c r="A1805" s="631"/>
      <c r="B1805" s="631"/>
      <c r="C1805" s="631"/>
      <c r="D1805" s="832"/>
      <c r="E1805" s="631"/>
      <c r="F1805" s="631"/>
      <c r="G1805" s="631"/>
      <c r="H1805" s="833"/>
      <c r="I1805" s="834"/>
      <c r="J1805" s="834"/>
      <c r="K1805" s="835"/>
      <c r="L1805" s="835"/>
      <c r="M1805" s="835"/>
      <c r="N1805" s="835"/>
      <c r="O1805" s="835"/>
      <c r="P1805" s="835"/>
      <c r="Q1805" s="540"/>
      <c r="R1805" s="540"/>
      <c r="S1805" s="540"/>
      <c r="T1805" s="540"/>
      <c r="U1805" s="540"/>
      <c r="V1805" s="540"/>
      <c r="W1805" s="540"/>
      <c r="X1805" s="540"/>
      <c r="Y1805" s="540"/>
      <c r="Z1805" s="540"/>
    </row>
    <row r="1806" spans="1:26" ht="19">
      <c r="A1806" s="631"/>
      <c r="B1806" s="631"/>
      <c r="C1806" s="631"/>
      <c r="D1806" s="832"/>
      <c r="E1806" s="631"/>
      <c r="F1806" s="631"/>
      <c r="G1806" s="631"/>
      <c r="H1806" s="833"/>
      <c r="I1806" s="834"/>
      <c r="J1806" s="834"/>
      <c r="K1806" s="835"/>
      <c r="L1806" s="835"/>
      <c r="M1806" s="835"/>
      <c r="N1806" s="835"/>
      <c r="O1806" s="835"/>
      <c r="P1806" s="835"/>
      <c r="Q1806" s="540"/>
      <c r="R1806" s="540"/>
      <c r="S1806" s="540"/>
      <c r="T1806" s="540"/>
      <c r="U1806" s="540"/>
      <c r="V1806" s="540"/>
      <c r="W1806" s="540"/>
      <c r="X1806" s="540"/>
      <c r="Y1806" s="540"/>
      <c r="Z1806" s="540"/>
    </row>
    <row r="1807" spans="1:26" ht="19">
      <c r="A1807" s="631"/>
      <c r="B1807" s="631"/>
      <c r="C1807" s="631"/>
      <c r="D1807" s="832"/>
      <c r="E1807" s="631"/>
      <c r="F1807" s="631"/>
      <c r="G1807" s="631"/>
      <c r="H1807" s="833"/>
      <c r="I1807" s="834"/>
      <c r="J1807" s="834"/>
      <c r="K1807" s="835"/>
      <c r="L1807" s="835"/>
      <c r="M1807" s="835"/>
      <c r="N1807" s="835"/>
      <c r="O1807" s="835"/>
      <c r="P1807" s="835"/>
      <c r="Q1807" s="540"/>
      <c r="R1807" s="540"/>
      <c r="S1807" s="540"/>
      <c r="T1807" s="540"/>
      <c r="U1807" s="540"/>
      <c r="V1807" s="540"/>
      <c r="W1807" s="540"/>
      <c r="X1807" s="540"/>
      <c r="Y1807" s="540"/>
      <c r="Z1807" s="540"/>
    </row>
    <row r="1808" spans="1:26" ht="19">
      <c r="A1808" s="631"/>
      <c r="B1808" s="631"/>
      <c r="C1808" s="631"/>
      <c r="D1808" s="832"/>
      <c r="E1808" s="631"/>
      <c r="F1808" s="631"/>
      <c r="G1808" s="631"/>
      <c r="H1808" s="833"/>
      <c r="I1808" s="834"/>
      <c r="J1808" s="834"/>
      <c r="K1808" s="835"/>
      <c r="L1808" s="835"/>
      <c r="M1808" s="835"/>
      <c r="N1808" s="835"/>
      <c r="O1808" s="835"/>
      <c r="P1808" s="835"/>
      <c r="Q1808" s="540"/>
      <c r="R1808" s="540"/>
      <c r="S1808" s="540"/>
      <c r="T1808" s="540"/>
      <c r="U1808" s="540"/>
      <c r="V1808" s="540"/>
      <c r="W1808" s="540"/>
      <c r="X1808" s="540"/>
      <c r="Y1808" s="540"/>
      <c r="Z1808" s="540"/>
    </row>
    <row r="1809" spans="1:26" ht="19">
      <c r="A1809" s="631"/>
      <c r="B1809" s="631"/>
      <c r="C1809" s="631"/>
      <c r="D1809" s="832"/>
      <c r="E1809" s="631"/>
      <c r="F1809" s="631"/>
      <c r="G1809" s="631"/>
      <c r="H1809" s="833"/>
      <c r="I1809" s="834"/>
      <c r="J1809" s="834"/>
      <c r="K1809" s="835"/>
      <c r="L1809" s="835"/>
      <c r="M1809" s="835"/>
      <c r="N1809" s="835"/>
      <c r="O1809" s="835"/>
      <c r="P1809" s="835"/>
      <c r="Q1809" s="540"/>
      <c r="R1809" s="540"/>
      <c r="S1809" s="540"/>
      <c r="T1809" s="540"/>
      <c r="U1809" s="540"/>
      <c r="V1809" s="540"/>
      <c r="W1809" s="540"/>
      <c r="X1809" s="540"/>
      <c r="Y1809" s="540"/>
      <c r="Z1809" s="540"/>
    </row>
    <row r="1810" spans="1:26" ht="19">
      <c r="A1810" s="631"/>
      <c r="B1810" s="631"/>
      <c r="C1810" s="631"/>
      <c r="D1810" s="832"/>
      <c r="E1810" s="631"/>
      <c r="F1810" s="631"/>
      <c r="G1810" s="631"/>
      <c r="H1810" s="833"/>
      <c r="I1810" s="834"/>
      <c r="J1810" s="834"/>
      <c r="K1810" s="835"/>
      <c r="L1810" s="835"/>
      <c r="M1810" s="835"/>
      <c r="N1810" s="835"/>
      <c r="O1810" s="835"/>
      <c r="P1810" s="835"/>
      <c r="Q1810" s="540"/>
      <c r="R1810" s="540"/>
      <c r="S1810" s="540"/>
      <c r="T1810" s="540"/>
      <c r="U1810" s="540"/>
      <c r="V1810" s="540"/>
      <c r="W1810" s="540"/>
      <c r="X1810" s="540"/>
      <c r="Y1810" s="540"/>
      <c r="Z1810" s="540"/>
    </row>
    <row r="1811" spans="1:26" ht="19">
      <c r="A1811" s="631"/>
      <c r="B1811" s="631"/>
      <c r="C1811" s="631"/>
      <c r="D1811" s="832"/>
      <c r="E1811" s="631"/>
      <c r="F1811" s="631"/>
      <c r="G1811" s="631"/>
      <c r="H1811" s="833"/>
      <c r="I1811" s="834"/>
      <c r="J1811" s="834"/>
      <c r="K1811" s="835"/>
      <c r="L1811" s="835"/>
      <c r="M1811" s="835"/>
      <c r="N1811" s="835"/>
      <c r="O1811" s="835"/>
      <c r="P1811" s="835"/>
      <c r="Q1811" s="540"/>
      <c r="R1811" s="540"/>
      <c r="S1811" s="540"/>
      <c r="T1811" s="540"/>
      <c r="U1811" s="540"/>
      <c r="V1811" s="540"/>
      <c r="W1811" s="540"/>
      <c r="X1811" s="540"/>
      <c r="Y1811" s="540"/>
      <c r="Z1811" s="540"/>
    </row>
    <row r="1812" spans="1:26" ht="19">
      <c r="A1812" s="631"/>
      <c r="B1812" s="631"/>
      <c r="C1812" s="631"/>
      <c r="D1812" s="832"/>
      <c r="E1812" s="631"/>
      <c r="F1812" s="631"/>
      <c r="G1812" s="631"/>
      <c r="H1812" s="833"/>
      <c r="I1812" s="834"/>
      <c r="J1812" s="834"/>
      <c r="K1812" s="835"/>
      <c r="L1812" s="835"/>
      <c r="M1812" s="835"/>
      <c r="N1812" s="835"/>
      <c r="O1812" s="835"/>
      <c r="P1812" s="835"/>
      <c r="Q1812" s="540"/>
      <c r="R1812" s="540"/>
      <c r="S1812" s="540"/>
      <c r="T1812" s="540"/>
      <c r="U1812" s="540"/>
      <c r="V1812" s="540"/>
      <c r="W1812" s="540"/>
      <c r="X1812" s="540"/>
      <c r="Y1812" s="540"/>
      <c r="Z1812" s="540"/>
    </row>
    <row r="1813" spans="1:26" ht="19">
      <c r="A1813" s="631"/>
      <c r="B1813" s="631"/>
      <c r="C1813" s="631"/>
      <c r="D1813" s="832"/>
      <c r="E1813" s="631"/>
      <c r="F1813" s="631"/>
      <c r="G1813" s="631"/>
      <c r="H1813" s="833"/>
      <c r="I1813" s="834"/>
      <c r="J1813" s="834"/>
      <c r="K1813" s="835"/>
      <c r="L1813" s="835"/>
      <c r="M1813" s="835"/>
      <c r="N1813" s="835"/>
      <c r="O1813" s="835"/>
      <c r="P1813" s="835"/>
      <c r="Q1813" s="540"/>
      <c r="R1813" s="540"/>
      <c r="S1813" s="540"/>
      <c r="T1813" s="540"/>
      <c r="U1813" s="540"/>
      <c r="V1813" s="540"/>
      <c r="W1813" s="540"/>
      <c r="X1813" s="540"/>
      <c r="Y1813" s="540"/>
      <c r="Z1813" s="540"/>
    </row>
    <row r="1814" spans="1:26" ht="19">
      <c r="A1814" s="631"/>
      <c r="B1814" s="631"/>
      <c r="C1814" s="631"/>
      <c r="D1814" s="832"/>
      <c r="E1814" s="631"/>
      <c r="F1814" s="631"/>
      <c r="G1814" s="631"/>
      <c r="H1814" s="833"/>
      <c r="I1814" s="834"/>
      <c r="J1814" s="834"/>
      <c r="K1814" s="835"/>
      <c r="L1814" s="835"/>
      <c r="M1814" s="835"/>
      <c r="N1814" s="835"/>
      <c r="O1814" s="835"/>
      <c r="P1814" s="835"/>
      <c r="Q1814" s="540"/>
      <c r="R1814" s="540"/>
      <c r="S1814" s="540"/>
      <c r="T1814" s="540"/>
      <c r="U1814" s="540"/>
      <c r="V1814" s="540"/>
      <c r="W1814" s="540"/>
      <c r="X1814" s="540"/>
      <c r="Y1814" s="540"/>
      <c r="Z1814" s="540"/>
    </row>
    <row r="1815" spans="1:26" ht="19">
      <c r="A1815" s="631"/>
      <c r="B1815" s="631"/>
      <c r="C1815" s="631"/>
      <c r="D1815" s="832"/>
      <c r="E1815" s="631"/>
      <c r="F1815" s="631"/>
      <c r="G1815" s="631"/>
      <c r="H1815" s="833"/>
      <c r="I1815" s="834"/>
      <c r="J1815" s="834"/>
      <c r="K1815" s="835"/>
      <c r="L1815" s="835"/>
      <c r="M1815" s="835"/>
      <c r="N1815" s="835"/>
      <c r="O1815" s="835"/>
      <c r="P1815" s="835"/>
      <c r="Q1815" s="540"/>
      <c r="R1815" s="540"/>
      <c r="S1815" s="540"/>
      <c r="T1815" s="540"/>
      <c r="U1815" s="540"/>
      <c r="V1815" s="540"/>
      <c r="W1815" s="540"/>
      <c r="X1815" s="540"/>
      <c r="Y1815" s="540"/>
      <c r="Z1815" s="540"/>
    </row>
    <row r="1816" spans="1:26" ht="19">
      <c r="A1816" s="631"/>
      <c r="B1816" s="631"/>
      <c r="C1816" s="631"/>
      <c r="D1816" s="832"/>
      <c r="E1816" s="631"/>
      <c r="F1816" s="631"/>
      <c r="G1816" s="631"/>
      <c r="H1816" s="833"/>
      <c r="I1816" s="834"/>
      <c r="J1816" s="834"/>
      <c r="K1816" s="835"/>
      <c r="L1816" s="835"/>
      <c r="M1816" s="835"/>
      <c r="N1816" s="835"/>
      <c r="O1816" s="835"/>
      <c r="P1816" s="835"/>
      <c r="Q1816" s="540"/>
      <c r="R1816" s="540"/>
      <c r="S1816" s="540"/>
      <c r="T1816" s="540"/>
      <c r="U1816" s="540"/>
      <c r="V1816" s="540"/>
      <c r="W1816" s="540"/>
      <c r="X1816" s="540"/>
      <c r="Y1816" s="540"/>
      <c r="Z1816" s="540"/>
    </row>
    <row r="1817" spans="1:26" ht="19">
      <c r="A1817" s="631"/>
      <c r="B1817" s="631"/>
      <c r="C1817" s="631"/>
      <c r="D1817" s="832"/>
      <c r="E1817" s="631"/>
      <c r="F1817" s="631"/>
      <c r="G1817" s="631"/>
      <c r="H1817" s="833"/>
      <c r="I1817" s="834"/>
      <c r="J1817" s="834"/>
      <c r="K1817" s="835"/>
      <c r="L1817" s="835"/>
      <c r="M1817" s="835"/>
      <c r="N1817" s="835"/>
      <c r="O1817" s="835"/>
      <c r="P1817" s="835"/>
      <c r="Q1817" s="540"/>
      <c r="R1817" s="540"/>
      <c r="S1817" s="540"/>
      <c r="T1817" s="540"/>
      <c r="U1817" s="540"/>
      <c r="V1817" s="540"/>
      <c r="W1817" s="540"/>
      <c r="X1817" s="540"/>
      <c r="Y1817" s="540"/>
      <c r="Z1817" s="540"/>
    </row>
    <row r="1818" spans="1:26" ht="19">
      <c r="A1818" s="631"/>
      <c r="B1818" s="631"/>
      <c r="C1818" s="631"/>
      <c r="D1818" s="832"/>
      <c r="E1818" s="631"/>
      <c r="F1818" s="631"/>
      <c r="G1818" s="631"/>
      <c r="H1818" s="833"/>
      <c r="I1818" s="834"/>
      <c r="J1818" s="834"/>
      <c r="K1818" s="835"/>
      <c r="L1818" s="835"/>
      <c r="M1818" s="835"/>
      <c r="N1818" s="835"/>
      <c r="O1818" s="835"/>
      <c r="P1818" s="835"/>
      <c r="Q1818" s="540"/>
      <c r="R1818" s="540"/>
      <c r="S1818" s="540"/>
      <c r="T1818" s="540"/>
      <c r="U1818" s="540"/>
      <c r="V1818" s="540"/>
      <c r="W1818" s="540"/>
      <c r="X1818" s="540"/>
      <c r="Y1818" s="540"/>
      <c r="Z1818" s="540"/>
    </row>
    <row r="1819" spans="1:26" ht="19">
      <c r="A1819" s="631"/>
      <c r="B1819" s="631"/>
      <c r="C1819" s="631"/>
      <c r="D1819" s="832"/>
      <c r="E1819" s="631"/>
      <c r="F1819" s="631"/>
      <c r="G1819" s="631"/>
      <c r="H1819" s="833"/>
      <c r="I1819" s="834"/>
      <c r="J1819" s="834"/>
      <c r="K1819" s="835"/>
      <c r="L1819" s="835"/>
      <c r="M1819" s="835"/>
      <c r="N1819" s="835"/>
      <c r="O1819" s="835"/>
      <c r="P1819" s="835"/>
      <c r="Q1819" s="540"/>
      <c r="R1819" s="540"/>
      <c r="S1819" s="540"/>
      <c r="T1819" s="540"/>
      <c r="U1819" s="540"/>
      <c r="V1819" s="540"/>
      <c r="W1819" s="540"/>
      <c r="X1819" s="540"/>
      <c r="Y1819" s="540"/>
      <c r="Z1819" s="540"/>
    </row>
    <row r="1820" spans="1:26" ht="19">
      <c r="A1820" s="631"/>
      <c r="B1820" s="631"/>
      <c r="C1820" s="631"/>
      <c r="D1820" s="832"/>
      <c r="E1820" s="631"/>
      <c r="F1820" s="631"/>
      <c r="G1820" s="631"/>
      <c r="H1820" s="833"/>
      <c r="I1820" s="834"/>
      <c r="J1820" s="834"/>
      <c r="K1820" s="835"/>
      <c r="L1820" s="835"/>
      <c r="M1820" s="835"/>
      <c r="N1820" s="835"/>
      <c r="O1820" s="835"/>
      <c r="P1820" s="835"/>
      <c r="Q1820" s="540"/>
      <c r="R1820" s="540"/>
      <c r="S1820" s="540"/>
      <c r="T1820" s="540"/>
      <c r="U1820" s="540"/>
      <c r="V1820" s="540"/>
      <c r="W1820" s="540"/>
      <c r="X1820" s="540"/>
      <c r="Y1820" s="540"/>
      <c r="Z1820" s="540"/>
    </row>
    <row r="1821" spans="1:26" ht="19">
      <c r="A1821" s="631"/>
      <c r="B1821" s="631"/>
      <c r="C1821" s="631"/>
      <c r="D1821" s="832"/>
      <c r="E1821" s="631"/>
      <c r="F1821" s="631"/>
      <c r="G1821" s="631"/>
      <c r="H1821" s="833"/>
      <c r="I1821" s="834"/>
      <c r="J1821" s="834"/>
      <c r="K1821" s="835"/>
      <c r="L1821" s="835"/>
      <c r="M1821" s="835"/>
      <c r="N1821" s="835"/>
      <c r="O1821" s="835"/>
      <c r="P1821" s="835"/>
      <c r="Q1821" s="540"/>
      <c r="R1821" s="540"/>
      <c r="S1821" s="540"/>
      <c r="T1821" s="540"/>
      <c r="U1821" s="540"/>
      <c r="V1821" s="540"/>
      <c r="W1821" s="540"/>
      <c r="X1821" s="540"/>
      <c r="Y1821" s="540"/>
      <c r="Z1821" s="540"/>
    </row>
    <row r="1822" spans="1:26" ht="19">
      <c r="A1822" s="631"/>
      <c r="B1822" s="631"/>
      <c r="C1822" s="631"/>
      <c r="D1822" s="832"/>
      <c r="E1822" s="631"/>
      <c r="F1822" s="631"/>
      <c r="G1822" s="631"/>
      <c r="H1822" s="833"/>
      <c r="I1822" s="834"/>
      <c r="J1822" s="834"/>
      <c r="K1822" s="835"/>
      <c r="L1822" s="835"/>
      <c r="M1822" s="835"/>
      <c r="N1822" s="835"/>
      <c r="O1822" s="835"/>
      <c r="P1822" s="835"/>
      <c r="Q1822" s="540"/>
      <c r="R1822" s="540"/>
      <c r="S1822" s="540"/>
      <c r="T1822" s="540"/>
      <c r="U1822" s="540"/>
      <c r="V1822" s="540"/>
      <c r="W1822" s="540"/>
      <c r="X1822" s="540"/>
      <c r="Y1822" s="540"/>
      <c r="Z1822" s="540"/>
    </row>
    <row r="1823" spans="1:26" ht="19">
      <c r="A1823" s="631"/>
      <c r="B1823" s="631"/>
      <c r="C1823" s="631"/>
      <c r="D1823" s="832"/>
      <c r="E1823" s="631"/>
      <c r="F1823" s="631"/>
      <c r="G1823" s="631"/>
      <c r="H1823" s="833"/>
      <c r="I1823" s="834"/>
      <c r="J1823" s="834"/>
      <c r="K1823" s="835"/>
      <c r="L1823" s="835"/>
      <c r="M1823" s="835"/>
      <c r="N1823" s="835"/>
      <c r="O1823" s="835"/>
      <c r="P1823" s="835"/>
      <c r="Q1823" s="540"/>
      <c r="R1823" s="540"/>
      <c r="S1823" s="540"/>
      <c r="T1823" s="540"/>
      <c r="U1823" s="540"/>
      <c r="V1823" s="540"/>
      <c r="W1823" s="540"/>
      <c r="X1823" s="540"/>
      <c r="Y1823" s="540"/>
      <c r="Z1823" s="540"/>
    </row>
    <row r="1824" spans="1:26" ht="19">
      <c r="A1824" s="631"/>
      <c r="B1824" s="631"/>
      <c r="C1824" s="631"/>
      <c r="D1824" s="832"/>
      <c r="E1824" s="631"/>
      <c r="F1824" s="631"/>
      <c r="G1824" s="631"/>
      <c r="H1824" s="833"/>
      <c r="I1824" s="834"/>
      <c r="J1824" s="834"/>
      <c r="K1824" s="835"/>
      <c r="L1824" s="835"/>
      <c r="M1824" s="835"/>
      <c r="N1824" s="835"/>
      <c r="O1824" s="835"/>
      <c r="P1824" s="835"/>
      <c r="Q1824" s="540"/>
      <c r="R1824" s="540"/>
      <c r="S1824" s="540"/>
      <c r="T1824" s="540"/>
      <c r="U1824" s="540"/>
      <c r="V1824" s="540"/>
      <c r="W1824" s="540"/>
      <c r="X1824" s="540"/>
      <c r="Y1824" s="540"/>
      <c r="Z1824" s="540"/>
    </row>
    <row r="1825" spans="1:26" ht="19">
      <c r="A1825" s="631"/>
      <c r="B1825" s="631"/>
      <c r="C1825" s="631"/>
      <c r="D1825" s="832"/>
      <c r="E1825" s="631"/>
      <c r="F1825" s="631"/>
      <c r="G1825" s="631"/>
      <c r="H1825" s="833"/>
      <c r="I1825" s="834"/>
      <c r="J1825" s="834"/>
      <c r="K1825" s="835"/>
      <c r="L1825" s="835"/>
      <c r="M1825" s="835"/>
      <c r="N1825" s="835"/>
      <c r="O1825" s="835"/>
      <c r="P1825" s="835"/>
      <c r="Q1825" s="540"/>
      <c r="R1825" s="540"/>
      <c r="S1825" s="540"/>
      <c r="T1825" s="540"/>
      <c r="U1825" s="540"/>
      <c r="V1825" s="540"/>
      <c r="W1825" s="540"/>
      <c r="X1825" s="540"/>
      <c r="Y1825" s="540"/>
      <c r="Z1825" s="540"/>
    </row>
    <row r="1826" spans="1:26" ht="19">
      <c r="A1826" s="631"/>
      <c r="B1826" s="631"/>
      <c r="C1826" s="631"/>
      <c r="D1826" s="832"/>
      <c r="E1826" s="631"/>
      <c r="F1826" s="631"/>
      <c r="G1826" s="631"/>
      <c r="H1826" s="833"/>
      <c r="I1826" s="834"/>
      <c r="J1826" s="834"/>
      <c r="K1826" s="835"/>
      <c r="L1826" s="835"/>
      <c r="M1826" s="835"/>
      <c r="N1826" s="835"/>
      <c r="O1826" s="835"/>
      <c r="P1826" s="835"/>
      <c r="Q1826" s="540"/>
      <c r="R1826" s="540"/>
      <c r="S1826" s="540"/>
      <c r="T1826" s="540"/>
      <c r="U1826" s="540"/>
      <c r="V1826" s="540"/>
      <c r="W1826" s="540"/>
      <c r="X1826" s="540"/>
      <c r="Y1826" s="540"/>
      <c r="Z1826" s="540"/>
    </row>
    <row r="1827" spans="1:26" ht="19">
      <c r="A1827" s="631"/>
      <c r="B1827" s="631"/>
      <c r="C1827" s="631"/>
      <c r="D1827" s="832"/>
      <c r="E1827" s="631"/>
      <c r="F1827" s="631"/>
      <c r="G1827" s="631"/>
      <c r="H1827" s="833"/>
      <c r="I1827" s="834"/>
      <c r="J1827" s="834"/>
      <c r="K1827" s="835"/>
      <c r="L1827" s="835"/>
      <c r="M1827" s="835"/>
      <c r="N1827" s="835"/>
      <c r="O1827" s="835"/>
      <c r="P1827" s="835"/>
      <c r="Q1827" s="540"/>
      <c r="R1827" s="540"/>
      <c r="S1827" s="540"/>
      <c r="T1827" s="540"/>
      <c r="U1827" s="540"/>
      <c r="V1827" s="540"/>
      <c r="W1827" s="540"/>
      <c r="X1827" s="540"/>
      <c r="Y1827" s="540"/>
      <c r="Z1827" s="540"/>
    </row>
    <row r="1828" spans="1:26" ht="19">
      <c r="A1828" s="631"/>
      <c r="B1828" s="631"/>
      <c r="C1828" s="631"/>
      <c r="D1828" s="832"/>
      <c r="E1828" s="631"/>
      <c r="F1828" s="631"/>
      <c r="G1828" s="631"/>
      <c r="H1828" s="833"/>
      <c r="I1828" s="834"/>
      <c r="J1828" s="834"/>
      <c r="K1828" s="835"/>
      <c r="L1828" s="835"/>
      <c r="M1828" s="835"/>
      <c r="N1828" s="835"/>
      <c r="O1828" s="835"/>
      <c r="P1828" s="835"/>
      <c r="Q1828" s="540"/>
      <c r="R1828" s="540"/>
      <c r="S1828" s="540"/>
      <c r="T1828" s="540"/>
      <c r="U1828" s="540"/>
      <c r="V1828" s="540"/>
      <c r="W1828" s="540"/>
      <c r="X1828" s="540"/>
      <c r="Y1828" s="540"/>
      <c r="Z1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AF1F2-2A13-4D09-9878-1872801FC7C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340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3871133</v>
      </c>
      <c r="N8" s="22">
        <f t="shared" ca="1" si="0"/>
        <v>3128773.85</v>
      </c>
      <c r="O8" s="22">
        <f t="shared" ref="O8:O16" ca="1" si="1">IF(L8&gt;0,N8*100/L8,0)</f>
        <v>83.739607736289756</v>
      </c>
      <c r="P8" s="22">
        <f t="shared" ref="P8:P16" ca="1" si="2">IF(M8&gt;0,N8*100/M8,0)</f>
        <v>80.823207314241074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3871133</v>
      </c>
      <c r="N10" s="30">
        <f t="shared" ca="1" si="3"/>
        <v>3128773.85</v>
      </c>
      <c r="O10" s="30">
        <f t="shared" ca="1" si="1"/>
        <v>83.739607736289756</v>
      </c>
      <c r="P10" s="30">
        <f t="shared" ca="1" si="2"/>
        <v>80.823207314241074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2935313</v>
      </c>
      <c r="M11" s="38">
        <f t="shared" ca="1" si="4"/>
        <v>3126633</v>
      </c>
      <c r="N11" s="38">
        <f t="shared" ca="1" si="4"/>
        <v>2384273.85</v>
      </c>
      <c r="O11" s="38">
        <f t="shared" ca="1" si="1"/>
        <v>81.22724390891193</v>
      </c>
      <c r="P11" s="38">
        <f t="shared" ca="1" si="2"/>
        <v>76.256914386818025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2935313</v>
      </c>
      <c r="M13" s="45">
        <f t="shared" ca="1" si="5"/>
        <v>3126633</v>
      </c>
      <c r="N13" s="45">
        <f t="shared" ca="1" si="5"/>
        <v>2384273.85</v>
      </c>
      <c r="O13" s="45">
        <f t="shared" ca="1" si="1"/>
        <v>81.22724390891193</v>
      </c>
      <c r="P13" s="45">
        <f t="shared" ca="1" si="2"/>
        <v>76.256914386818025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801000</v>
      </c>
      <c r="M14" s="38">
        <f t="shared" ca="1" si="6"/>
        <v>744500</v>
      </c>
      <c r="N14" s="38">
        <f t="shared" ca="1" si="6"/>
        <v>744500</v>
      </c>
      <c r="O14" s="38">
        <f t="shared" ca="1" si="1"/>
        <v>92.946317103620473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3065240</v>
      </c>
      <c r="N18" s="22">
        <f t="shared" ca="1" si="8"/>
        <v>2651308.85</v>
      </c>
      <c r="O18" s="22">
        <f t="shared" ref="O18:O26" ca="1" si="9">IF(L18&gt;0,N18*100/L18,0)</f>
        <v>91.727460023110822</v>
      </c>
      <c r="P18" s="22">
        <f t="shared" ref="P18:P26" ca="1" si="10">IF(M18&gt;0,N18*100/M18,0)</f>
        <v>86.495962795735409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3065240</v>
      </c>
      <c r="N20" s="30">
        <f t="shared" ca="1" si="11"/>
        <v>2651308.85</v>
      </c>
      <c r="O20" s="30">
        <f t="shared" ca="1" si="9"/>
        <v>91.727460023110822</v>
      </c>
      <c r="P20" s="30">
        <f t="shared" ca="1" si="10"/>
        <v>86.495962795735409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2089420</v>
      </c>
      <c r="M21" s="38">
        <f t="shared" ca="1" si="12"/>
        <v>2320740</v>
      </c>
      <c r="N21" s="38">
        <f t="shared" ca="1" si="12"/>
        <v>1906808.85</v>
      </c>
      <c r="O21" s="38">
        <f t="shared" ca="1" si="9"/>
        <v>91.260199002594021</v>
      </c>
      <c r="P21" s="38">
        <f t="shared" ca="1" si="10"/>
        <v>82.16382920964864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2089420</v>
      </c>
      <c r="M23" s="45">
        <f t="shared" ca="1" si="13"/>
        <v>2320740</v>
      </c>
      <c r="N23" s="45">
        <f t="shared" ca="1" si="13"/>
        <v>1906808.85</v>
      </c>
      <c r="O23" s="45">
        <f t="shared" ca="1" si="9"/>
        <v>91.260199002594021</v>
      </c>
      <c r="P23" s="45">
        <f t="shared" ca="1" si="10"/>
        <v>82.16382920964864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801000</v>
      </c>
      <c r="M24" s="38">
        <f t="shared" ca="1" si="14"/>
        <v>744500</v>
      </c>
      <c r="N24" s="38">
        <f t="shared" ca="1" si="14"/>
        <v>744500</v>
      </c>
      <c r="O24" s="38">
        <f t="shared" ca="1" si="9"/>
        <v>92.946317103620473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477465</v>
      </c>
      <c r="O28" s="22">
        <f t="shared" ref="O28:O37" ca="1" si="17">IF(L28&gt;0,N28*100/L28,0)</f>
        <v>56.445082297642848</v>
      </c>
      <c r="P28" s="22">
        <f t="shared" ref="P28:P37" ca="1" si="18">IF(M28&gt;0,N28*100/M28,0)</f>
        <v>59.246699003465721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477465</v>
      </c>
      <c r="O30" s="30">
        <f t="shared" ca="1" si="17"/>
        <v>56.445082297642848</v>
      </c>
      <c r="P30" s="30">
        <f t="shared" ca="1" si="18"/>
        <v>59.246699003465721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845893</v>
      </c>
      <c r="M31" s="38">
        <f t="shared" ca="1" si="20"/>
        <v>805893</v>
      </c>
      <c r="N31" s="38">
        <f t="shared" si="20"/>
        <v>477465</v>
      </c>
      <c r="O31" s="38">
        <f t="shared" ca="1" si="17"/>
        <v>56.445082297642848</v>
      </c>
      <c r="P31" s="38">
        <f t="shared" ca="1" si="18"/>
        <v>59.246699003465721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845893</v>
      </c>
      <c r="M33" s="45">
        <f t="shared" ca="1" si="21"/>
        <v>805893</v>
      </c>
      <c r="N33" s="45">
        <f t="shared" si="21"/>
        <v>477465</v>
      </c>
      <c r="O33" s="45">
        <f t="shared" ca="1" si="17"/>
        <v>56.445082297642848</v>
      </c>
      <c r="P33" s="45">
        <f t="shared" ca="1" si="18"/>
        <v>59.246699003465721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3065240</v>
      </c>
      <c r="N37" s="59">
        <f t="shared" ca="1" si="24"/>
        <v>2651308.85</v>
      </c>
      <c r="O37" s="59">
        <f t="shared" ca="1" si="17"/>
        <v>91.727460023110822</v>
      </c>
      <c r="P37" s="59">
        <f t="shared" ca="1" si="18"/>
        <v>86.495962795735409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299560</v>
      </c>
      <c r="N41" s="85">
        <f t="shared" ca="1" si="25"/>
        <v>260779</v>
      </c>
      <c r="O41" s="85">
        <f t="shared" ref="O41:O49" ca="1" si="26">IF(L41&gt;0,N41*100/L41,0)</f>
        <v>93.788527243301559</v>
      </c>
      <c r="P41" s="85">
        <f t="shared" ref="P41:P49" ca="1" si="27">IF(M41&gt;0,N41*100/M41,0)</f>
        <v>87.054012551742559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299560</v>
      </c>
      <c r="N43" s="92">
        <f t="shared" ca="1" si="28"/>
        <v>260779</v>
      </c>
      <c r="O43" s="92">
        <f t="shared" ca="1" si="26"/>
        <v>93.788527243301559</v>
      </c>
      <c r="P43" s="92">
        <f t="shared" ca="1" si="27"/>
        <v>87.054012551742559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278050</v>
      </c>
      <c r="M44" s="38">
        <f t="shared" ca="1" si="29"/>
        <v>299560</v>
      </c>
      <c r="N44" s="38">
        <f t="shared" ca="1" si="29"/>
        <v>260779</v>
      </c>
      <c r="O44" s="38">
        <f t="shared" ca="1" si="26"/>
        <v>93.788527243301559</v>
      </c>
      <c r="P44" s="38">
        <f t="shared" ca="1" si="27"/>
        <v>87.054012551742559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IFERROR(__xludf.DUMMYFUNCTION("IMPORTRANGE(""https://docs.google.com/spreadsheets/d/1MeEWN-I1oV_STSDYn1IFDPWt_1FKiwhDph83XaGc0o0/edit?usp=sharing"",""งบพรบ!M58"")"),278050)</f>
        <v>278050</v>
      </c>
      <c r="M46" s="45">
        <f ca="1">IFERROR(__xludf.DUMMYFUNCTION("IMPORTRANGE(""https://docs.google.com/spreadsheets/d/1MeEWN-I1oV_STSDYn1IFDPWt_1FKiwhDph83XaGc0o0/edit?usp=sharing"",""งบพรบ!R58"")"),299560)</f>
        <v>299560</v>
      </c>
      <c r="N46" s="45">
        <f ca="1">IFERROR(__xludf.DUMMYFUNCTION("IMPORTRANGE(""https://docs.google.com/spreadsheets/d/1MeEWN-I1oV_STSDYn1IFDPWt_1FKiwhDph83XaGc0o0/edit?usp=sharing"",""งบพรบ!T58"")"),260779)</f>
        <v>260779</v>
      </c>
      <c r="O46" s="45">
        <f t="shared" ca="1" si="26"/>
        <v>93.788527243301559</v>
      </c>
      <c r="P46" s="45">
        <f t="shared" ca="1" si="27"/>
        <v>87.054012551742559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1417900</v>
      </c>
      <c r="M53" s="115">
        <f t="shared" ca="1" si="31"/>
        <v>1362900</v>
      </c>
      <c r="N53" s="115">
        <f t="shared" ca="1" si="31"/>
        <v>1234537.45</v>
      </c>
      <c r="O53" s="115">
        <f t="shared" ref="O53:O61" ca="1" si="32">IF(L53&gt;0,N53*100/L53,0)</f>
        <v>87.068019606460254</v>
      </c>
      <c r="P53" s="115">
        <f t="shared" ref="P53:P61" ca="1" si="33">IF(M53&gt;0,N53*100/M53,0)</f>
        <v>90.58166042996551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1417900</v>
      </c>
      <c r="M55" s="122">
        <f t="shared" ca="1" si="34"/>
        <v>1362900</v>
      </c>
      <c r="N55" s="122">
        <f t="shared" ca="1" si="34"/>
        <v>1234537.45</v>
      </c>
      <c r="O55" s="122">
        <f t="shared" ca="1" si="32"/>
        <v>87.068019606460254</v>
      </c>
      <c r="P55" s="122">
        <f t="shared" ca="1" si="33"/>
        <v>90.58166042996551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632900</v>
      </c>
      <c r="M56" s="38">
        <f t="shared" ca="1" si="35"/>
        <v>632900</v>
      </c>
      <c r="N56" s="38">
        <f t="shared" ca="1" si="35"/>
        <v>504537.45</v>
      </c>
      <c r="O56" s="38">
        <f t="shared" ca="1" si="32"/>
        <v>79.718352030336547</v>
      </c>
      <c r="P56" s="38">
        <f t="shared" ca="1" si="33"/>
        <v>79.718352030336547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IFERROR(__xludf.DUMMYFUNCTION("IMPORTRANGE(""https://docs.google.com/spreadsheets/d/1MeEWN-I1oV_STSDYn1IFDPWt_1FKiwhDph83XaGc0o0/edit?usp=sharing"",""งบพรบ!W58"")"),632900)</f>
        <v>632900</v>
      </c>
      <c r="M58" s="45">
        <f ca="1">IFERROR(__xludf.DUMMYFUNCTION("IMPORTRANGE(""https://docs.google.com/spreadsheets/d/1MeEWN-I1oV_STSDYn1IFDPWt_1FKiwhDph83XaGc0o0/edit?usp=sharing"",""งบพรบ!AB58"")"),632900)</f>
        <v>632900</v>
      </c>
      <c r="N58" s="45">
        <f ca="1">IFERROR(__xludf.DUMMYFUNCTION("IMPORTRANGE(""https://docs.google.com/spreadsheets/d/1MeEWN-I1oV_STSDYn1IFDPWt_1FKiwhDph83XaGc0o0/edit?usp=sharing"",""งบพรบ!AD58"")"),504537.45)</f>
        <v>504537.45</v>
      </c>
      <c r="O58" s="45">
        <f t="shared" ca="1" si="32"/>
        <v>79.718352030336547</v>
      </c>
      <c r="P58" s="45">
        <f t="shared" ca="1" si="33"/>
        <v>79.718352030336547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785000</v>
      </c>
      <c r="M59" s="38">
        <f t="shared" ca="1" si="36"/>
        <v>730000</v>
      </c>
      <c r="N59" s="38">
        <f t="shared" ca="1" si="36"/>
        <v>730000</v>
      </c>
      <c r="O59" s="38">
        <f t="shared" ca="1" si="32"/>
        <v>92.99363057324841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IFERROR(__xludf.DUMMYFUNCTION("IMPORTRANGE(""https://docs.google.com/spreadsheets/d/1MeEWN-I1oV_STSDYn1IFDPWt_1FKiwhDph83XaGc0o0/edit?usp=sharing"",""งบพรบ!AG58"")"),0)</f>
        <v>0</v>
      </c>
      <c r="M71" s="45">
        <f ca="1">IFERROR(__xludf.DUMMYFUNCTION("IMPORTRANGE(""https://docs.google.com/spreadsheets/d/1MeEWN-I1oV_STSDYn1IFDPWt_1FKiwhDph83XaGc0o0/edit?usp=sharing"",""งบพรบ!AL58"")"),0)</f>
        <v>0</v>
      </c>
      <c r="N71" s="45">
        <f ca="1">IFERROR(__xludf.DUMMYFUNCTION("IMPORTRANGE(""https://docs.google.com/spreadsheets/d/1MeEWN-I1oV_STSDYn1IFDPWt_1FKiwhDph83XaGc0o0/edit?usp=sharing"",""งบพรบ!AN58"")"),0)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IFERROR(__xludf.DUMMYFUNCTION("IMPORTRANGE(""https://docs.google.com/spreadsheets/d/1MeEWN-I1oV_STSDYn1IFDPWt_1FKiwhDph83XaGc0o0/edit?usp=sharing"",""งบพรบ!AJ58"")"),0)</f>
        <v>0</v>
      </c>
      <c r="M74" s="45">
        <f ca="1">IFERROR(__xludf.DUMMYFUNCTION("IMPORTRANGE(""https://docs.google.com/spreadsheets/d/1MeEWN-I1oV_STSDYn1IFDPWt_1FKiwhDph83XaGc0o0/edit?usp=sharing"",""งบพรบ!AM58"")"),0)</f>
        <v>0</v>
      </c>
      <c r="N74" s="45">
        <f ca="1">IFERROR(__xludf.DUMMYFUNCTION("IMPORTRANGE(""https://docs.google.com/spreadsheets/d/1MeEWN-I1oV_STSDYn1IFDPWt_1FKiwhDph83XaGc0o0/edit?usp=sharing"",""งบพรบ!AO58"")"),0)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IFERROR(__xludf.DUMMYFUNCTION("IMPORTRANGE(""https://docs.google.com/spreadsheets/d/1QqKyyYR6Q21VydFLVH3TRQUabQu_ym0Zz7PgGX0-kHA/edit?usp=sharing"",""แผน!F58"")"),0)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IFERROR(__xludf.DUMMYFUNCTION("IMPORTRANGE(""https://docs.google.com/spreadsheets/d/1QqKyyYR6Q21VydFLVH3TRQUabQu_ym0Zz7PgGX0-kHA/edit?usp=sharing"",""แผน!G58"")"),0)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IFERROR(__xludf.DUMMYFUNCTION("IMPORTRANGE(""https://docs.google.com/spreadsheets/d/1QqKyyYR6Q21VydFLVH3TRQUabQu_ym0Zz7PgGX0-kHA/edit?usp=sharing"",""แผน!D58"")"),0)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IFERROR(__xludf.DUMMYFUNCTION("IMPORTRANGE(""https://docs.google.com/spreadsheets/d/1QqKyyYR6Q21VydFLVH3TRQUabQu_ym0Zz7PgGX0-kHA/edit?usp=sharing"",""แผน!E58"")"),0)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IFERROR(__xludf.DUMMYFUNCTION("IMPORTRANGE(""https://docs.google.com/spreadsheets/d/1QqKyyYR6Q21VydFLVH3TRQUabQu_ym0Zz7PgGX0-kHA/edit?usp=sharing"",""แผน!J58"")"),0)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372140</v>
      </c>
      <c r="M88" s="154">
        <f t="shared" ca="1" si="49"/>
        <v>372140</v>
      </c>
      <c r="N88" s="154">
        <f t="shared" ca="1" si="49"/>
        <v>295028.40000000002</v>
      </c>
      <c r="O88" s="154">
        <f t="shared" ref="O88:O96" ca="1" si="50">IF(L88&gt;0,N88*100/L88,0)</f>
        <v>79.278873542215308</v>
      </c>
      <c r="P88" s="154">
        <f t="shared" ref="P88:P96" ca="1" si="51">IF(M88&gt;0,N88*100/M88,0)</f>
        <v>79.278873542215308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372140</v>
      </c>
      <c r="M90" s="45">
        <f t="shared" ca="1" si="52"/>
        <v>372140</v>
      </c>
      <c r="N90" s="45">
        <f t="shared" ca="1" si="52"/>
        <v>295028.40000000002</v>
      </c>
      <c r="O90" s="45">
        <f t="shared" ca="1" si="50"/>
        <v>79.278873542215308</v>
      </c>
      <c r="P90" s="45">
        <f t="shared" ca="1" si="51"/>
        <v>79.278873542215308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372140</v>
      </c>
      <c r="M91" s="38">
        <f t="shared" ca="1" si="53"/>
        <v>372140</v>
      </c>
      <c r="N91" s="38">
        <f t="shared" ca="1" si="53"/>
        <v>295028.40000000002</v>
      </c>
      <c r="O91" s="38">
        <f t="shared" ca="1" si="50"/>
        <v>79.278873542215308</v>
      </c>
      <c r="P91" s="38">
        <f t="shared" ca="1" si="51"/>
        <v>79.278873542215308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IFERROR(__xludf.DUMMYFUNCTION("IMPORTRANGE(""https://docs.google.com/spreadsheets/d/1MeEWN-I1oV_STSDYn1IFDPWt_1FKiwhDph83XaGc0o0/edit?usp=sharing"",""งบพรบ!AQ58"")"),372140)</f>
        <v>372140</v>
      </c>
      <c r="M93" s="45">
        <f ca="1">IFERROR(__xludf.DUMMYFUNCTION("IMPORTRANGE(""https://docs.google.com/spreadsheets/d/1MeEWN-I1oV_STSDYn1IFDPWt_1FKiwhDph83XaGc0o0/edit?usp=sharing"",""งบพรบ!AV58"")"),372140)</f>
        <v>372140</v>
      </c>
      <c r="N93" s="45">
        <f ca="1">IFERROR(__xludf.DUMMYFUNCTION("IMPORTRANGE(""https://docs.google.com/spreadsheets/d/1MeEWN-I1oV_STSDYn1IFDPWt_1FKiwhDph83XaGc0o0/edit?usp=sharing"",""งบพรบ!AX58"")"),295028.4)</f>
        <v>295028.40000000002</v>
      </c>
      <c r="O93" s="45">
        <f t="shared" ca="1" si="50"/>
        <v>79.278873542215308</v>
      </c>
      <c r="P93" s="45">
        <f t="shared" ca="1" si="51"/>
        <v>79.278873542215308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IFERROR(__xludf.DUMMYFUNCTION("IMPORTRANGE(""https://docs.google.com/spreadsheets/d/1MeEWN-I1oV_STSDYn1IFDPWt_1FKiwhDph83XaGc0o0/edit?usp=sharing"",""งบพรบ!AT58"")"),0)</f>
        <v>0</v>
      </c>
      <c r="M96" s="45">
        <f ca="1">IFERROR(__xludf.DUMMYFUNCTION("IMPORTRANGE(""https://docs.google.com/spreadsheets/d/1MeEWN-I1oV_STSDYn1IFDPWt_1FKiwhDph83XaGc0o0/edit?usp=sharing"",""งบพรบ!AW58"")"),0)</f>
        <v>0</v>
      </c>
      <c r="N96" s="45">
        <f ca="1">IFERROR(__xludf.DUMMYFUNCTION("IMPORTRANGE(""https://docs.google.com/spreadsheets/d/1MeEWN-I1oV_STSDYn1IFDPWt_1FKiwhDph83XaGc0o0/edit?usp=sharing"",""งบพรบ!AY58"")"),0)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IFERROR(__xludf.DUMMYFUNCTION("IMPORTRANGE(""https://docs.google.com/spreadsheets/d/1QqKyyYR6Q21VydFLVH3TRQUabQu_ym0Zz7PgGX0-kHA/edit?usp=sharing"",""แผน!K58"")"),30)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IFERROR(__xludf.DUMMYFUNCTION("IMPORTRANGE(""https://docs.google.com/spreadsheets/d/1QqKyyYR6Q21VydFLVH3TRQUabQu_ym0Zz7PgGX0-kHA/edit?usp=sharing"",""แผน!L58"")"),10)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IFERROR(__xludf.DUMMYFUNCTION("IMPORTRANGE(""https://docs.google.com/spreadsheets/d/1QqKyyYR6Q21VydFLVH3TRQUabQu_ym0Zz7PgGX0-kHA/edit?usp=sharing"",""แผน!M58"")"),2)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IFERROR(__xludf.DUMMYFUNCTION("IMPORTRANGE(""https://docs.google.com/spreadsheets/d/1QqKyyYR6Q21VydFLVH3TRQUabQu_ym0Zz7PgGX0-kHA/edit?usp=sharing"",""แผน!N58"")"),30)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IFERROR(__xludf.DUMMYFUNCTION("IMPORTRANGE(""https://docs.google.com/spreadsheets/d/1QqKyyYR6Q21VydFLVH3TRQUabQu_ym0Zz7PgGX0-kHA/edit?usp=sharing"",""แผน!O58"")"),10)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IFERROR(__xludf.DUMMYFUNCTION("IMPORTRANGE(""https://docs.google.com/spreadsheets/d/1QqKyyYR6Q21VydFLVH3TRQUabQu_ym0Zz7PgGX0-kHA/edit?usp=sharing"",""แผน!O58"")"),10)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IFERROR(__xludf.DUMMYFUNCTION("IMPORTRANGE(""https://docs.google.com/spreadsheets/d/1QqKyyYR6Q21VydFLVH3TRQUabQu_ym0Zz7PgGX0-kHA/edit?usp=sharing"",""แผน!P58"")"),1)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IFERROR(__xludf.DUMMYFUNCTION("IMPORTRANGE(""https://docs.google.com/spreadsheets/d/1QqKyyYR6Q21VydFLVH3TRQUabQu_ym0Zz7PgGX0-kHA/edit?usp=sharing"",""แผน!Q58"")"),1)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IFERROR(__xludf.DUMMYFUNCTION("IMPORTRANGE(""https://docs.google.com/spreadsheets/d/1QqKyyYR6Q21VydFLVH3TRQUabQu_ym0Zz7PgGX0-kHA/edit?usp=sharing"",""แผน!Q58"")"),1)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IFERROR(__xludf.DUMMYFUNCTION("IMPORTRANGE(""https://docs.google.com/spreadsheets/d/1QqKyyYR6Q21VydFLVH3TRQUabQu_ym0Zz7PgGX0-kHA/edit?usp=sharing"",""แผน!R58"")"),10)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IFERROR(__xludf.DUMMYFUNCTION("IMPORTRANGE(""https://docs.google.com/spreadsheets/d/1QqKyyYR6Q21VydFLVH3TRQUabQu_ym0Zz7PgGX0-kHA/edit?usp=sharing"",""แผน!R58"")"),10)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IFERROR(__xludf.DUMMYFUNCTION("IMPORTRANGE(""https://docs.google.com/spreadsheets/d/1QqKyyYR6Q21VydFLVH3TRQUabQu_ym0Zz7PgGX0-kHA/edit?usp=sharing"",""แผน!R58"")"),10)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IFERROR(__xludf.DUMMYFUNCTION("IMPORTRANGE(""https://docs.google.com/spreadsheets/d/1QqKyyYR6Q21VydFLVH3TRQUabQu_ym0Zz7PgGX0-kHA/edit?usp=sharing"",""แผน!S58"")"),1)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IFERROR(__xludf.DUMMYFUNCTION("IMPORTRANGE(""https://docs.google.com/spreadsheets/d/1QqKyyYR6Q21VydFLVH3TRQUabQu_ym0Zz7PgGX0-kHA/edit?usp=sharing"",""แผน!T58"")"),1)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IFERROR(__xludf.DUMMYFUNCTION("IMPORTRANGE(""https://docs.google.com/spreadsheets/d/1MeEWN-I1oV_STSDYn1IFDPWt_1FKiwhDph83XaGc0o0/edit?usp=sharing"",""งบพรบ!BA58"")"),0)</f>
        <v>0</v>
      </c>
      <c r="M124" s="45">
        <f ca="1">IFERROR(__xludf.DUMMYFUNCTION("IMPORTRANGE(""https://docs.google.com/spreadsheets/d/1MeEWN-I1oV_STSDYn1IFDPWt_1FKiwhDph83XaGc0o0/edit?usp=sharing"",""งบพรบ!BF58"")"),0)</f>
        <v>0</v>
      </c>
      <c r="N124" s="45">
        <f ca="1">IFERROR(__xludf.DUMMYFUNCTION("IMPORTRANGE(""https://docs.google.com/spreadsheets/d/1MeEWN-I1oV_STSDYn1IFDPWt_1FKiwhDph83XaGc0o0/edit?usp=sharing"",""งบพรบ!BH58"")"),0)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IFERROR(__xludf.DUMMYFUNCTION("IMPORTRANGE(""https://docs.google.com/spreadsheets/d/1MeEWN-I1oV_STSDYn1IFDPWt_1FKiwhDph83XaGc0o0/edit?usp=sharing"",""งบพรบ!BD58"")"),0)</f>
        <v>0</v>
      </c>
      <c r="M127" s="45">
        <f ca="1">IFERROR(__xludf.DUMMYFUNCTION("IMPORTRANGE(""https://docs.google.com/spreadsheets/d/1MeEWN-I1oV_STSDYn1IFDPWt_1FKiwhDph83XaGc0o0/edit?usp=sharing"",""งบพรบ!BG58"")"),0)</f>
        <v>0</v>
      </c>
      <c r="N127" s="45">
        <f ca="1">IFERROR(__xludf.DUMMYFUNCTION("IMPORTRANGE(""https://docs.google.com/spreadsheets/d/1MeEWN-I1oV_STSDYn1IFDPWt_1FKiwhDph83XaGc0o0/edit?usp=sharing"",""งบพรบ!BI58"")"),0)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IFERROR(__xludf.DUMMYFUNCTION("IMPORTRANGE(""https://docs.google.com/spreadsheets/d/1MeEWN-I1oV_STSDYn1IFDPWt_1FKiwhDph83XaGc0o0/edit?usp=sharing"",""งบพรบ!BK58"")"),0)</f>
        <v>0</v>
      </c>
      <c r="M137" s="45">
        <f ca="1">IFERROR(__xludf.DUMMYFUNCTION("IMPORTRANGE(""https://docs.google.com/spreadsheets/d/1MeEWN-I1oV_STSDYn1IFDPWt_1FKiwhDph83XaGc0o0/edit?usp=sharing"",""งบพรบ!BP58"")"),0)</f>
        <v>0</v>
      </c>
      <c r="N137" s="45">
        <f ca="1">IFERROR(__xludf.DUMMYFUNCTION("IMPORTRANGE(""https://docs.google.com/spreadsheets/d/1MeEWN-I1oV_STSDYn1IFDPWt_1FKiwhDph83XaGc0o0/edit?usp=sharing"",""งบพรบ!BR58"")"),0)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IFERROR(__xludf.DUMMYFUNCTION("IMPORTRANGE(""https://docs.google.com/spreadsheets/d/1MeEWN-I1oV_STSDYn1IFDPWt_1FKiwhDph83XaGc0o0/edit?usp=sharing"",""งบพรบ!BN58"")"),0)</f>
        <v>0</v>
      </c>
      <c r="M140" s="45">
        <f ca="1">IFERROR(__xludf.DUMMYFUNCTION("IMPORTRANGE(""https://docs.google.com/spreadsheets/d/1MeEWN-I1oV_STSDYn1IFDPWt_1FKiwhDph83XaGc0o0/edit?usp=sharing"",""งบพรบ!BQ58"")"),0)</f>
        <v>0</v>
      </c>
      <c r="N140" s="45">
        <f ca="1">IFERROR(__xludf.DUMMYFUNCTION("IMPORTRANGE(""https://docs.google.com/spreadsheets/d/1MeEWN-I1oV_STSDYn1IFDPWt_1FKiwhDph83XaGc0o0/edit?usp=sharing"",""งบพรบ!BS58"")"),0)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IFERROR(__xludf.DUMMYFUNCTION("IMPORTRANGE(""https://docs.google.com/spreadsheets/d/1QqKyyYR6Q21VydFLVH3TRQUabQu_ym0Zz7PgGX0-kHA/edit?usp=sharing"",""แผน!U58"")"),0)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IFERROR(__xludf.DUMMYFUNCTION("IMPORTRANGE(""https://docs.google.com/spreadsheets/d/1QqKyyYR6Q21VydFLVH3TRQUabQu_ym0Zz7PgGX0-kHA/edit?usp=sharing"",""แผน!V58"")"),0)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IFERROR(__xludf.DUMMYFUNCTION("IMPORTRANGE(""https://docs.google.com/spreadsheets/d/1QqKyyYR6Q21VydFLVH3TRQUabQu_ym0Zz7PgGX0-kHA/edit?usp=sharing"",""แผน!W58"")"),0)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IFERROR(__xludf.DUMMYFUNCTION("IMPORTRANGE(""https://docs.google.com/spreadsheets/d/1MeEWN-I1oV_STSDYn1IFDPWt_1FKiwhDph83XaGc0o0/edit?usp=sharing"",""งบพรบ!BU58"")"),0)</f>
        <v>0</v>
      </c>
      <c r="M154" s="45">
        <f ca="1">IFERROR(__xludf.DUMMYFUNCTION("IMPORTRANGE(""https://docs.google.com/spreadsheets/d/1MeEWN-I1oV_STSDYn1IFDPWt_1FKiwhDph83XaGc0o0/edit?usp=sharing"",""งบพรบ!BZ58"")"),0)</f>
        <v>0</v>
      </c>
      <c r="N154" s="45">
        <f ca="1">IFERROR(__xludf.DUMMYFUNCTION("IMPORTRANGE(""https://docs.google.com/spreadsheets/d/1MeEWN-I1oV_STSDYn1IFDPWt_1FKiwhDph83XaGc0o0/edit?usp=sharing"",""งบพรบ!CB58"")"),0)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IFERROR(__xludf.DUMMYFUNCTION("IMPORTRANGE(""https://docs.google.com/spreadsheets/d/1MeEWN-I1oV_STSDYn1IFDPWt_1FKiwhDph83XaGc0o0/edit?usp=sharing"",""งบพรบ!BX58"")"),0)</f>
        <v>0</v>
      </c>
      <c r="M157" s="45">
        <f ca="1">IFERROR(__xludf.DUMMYFUNCTION("IMPORTRANGE(""https://docs.google.com/spreadsheets/d/1MeEWN-I1oV_STSDYn1IFDPWt_1FKiwhDph83XaGc0o0/edit?usp=sharing"",""งบพรบ!CA58"")"),0)</f>
        <v>0</v>
      </c>
      <c r="N157" s="45">
        <f ca="1">IFERROR(__xludf.DUMMYFUNCTION("IMPORTRANGE(""https://docs.google.com/spreadsheets/d/1MeEWN-I1oV_STSDYn1IFDPWt_1FKiwhDph83XaGc0o0/edit?usp=sharing"",""งบพรบ!CC58"")"),0)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IFERROR(__xludf.DUMMYFUNCTION("IMPORTRANGE(""https://docs.google.com/spreadsheets/d/1QqKyyYR6Q21VydFLVH3TRQUabQu_ym0Zz7PgGX0-kHA/edit?usp=sharing"",""แผน!X58"")"),0)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32440</v>
      </c>
      <c r="N165" s="154">
        <f t="shared" ca="1" si="84"/>
        <v>32440</v>
      </c>
      <c r="O165" s="154">
        <f t="shared" ref="O165:O173" ca="1" si="85">IF(L165&gt;0,N165*100/L165,0)</f>
        <v>154.10926365795726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32440</v>
      </c>
      <c r="N167" s="45">
        <f t="shared" ca="1" si="87"/>
        <v>32440</v>
      </c>
      <c r="O167" s="45">
        <f t="shared" ca="1" si="85"/>
        <v>154.10926365795726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32440</v>
      </c>
      <c r="N168" s="38">
        <f t="shared" ca="1" si="88"/>
        <v>32440</v>
      </c>
      <c r="O168" s="38">
        <f t="shared" ca="1" si="85"/>
        <v>154.10926365795726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IFERROR(__xludf.DUMMYFUNCTION("IMPORTRANGE(""https://docs.google.com/spreadsheets/d/1MeEWN-I1oV_STSDYn1IFDPWt_1FKiwhDph83XaGc0o0/edit?usp=sharing"",""งบพรบ!CE58"")"),21050)</f>
        <v>21050</v>
      </c>
      <c r="M170" s="45">
        <f ca="1">IFERROR(__xludf.DUMMYFUNCTION("IMPORTRANGE(""https://docs.google.com/spreadsheets/d/1MeEWN-I1oV_STSDYn1IFDPWt_1FKiwhDph83XaGc0o0/edit?usp=sharing"",""งบพรบ!CJ58"")"),32440)</f>
        <v>32440</v>
      </c>
      <c r="N170" s="45">
        <f ca="1">IFERROR(__xludf.DUMMYFUNCTION("IMPORTRANGE(""https://docs.google.com/spreadsheets/d/1MeEWN-I1oV_STSDYn1IFDPWt_1FKiwhDph83XaGc0o0/edit?usp=sharing"",""งบพรบ!CL58"")"),32440)</f>
        <v>32440</v>
      </c>
      <c r="O170" s="45">
        <f t="shared" ca="1" si="85"/>
        <v>154.10926365795726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IFERROR(__xludf.DUMMYFUNCTION("IMPORTRANGE(""https://docs.google.com/spreadsheets/d/1MeEWN-I1oV_STSDYn1IFDPWt_1FKiwhDph83XaGc0o0/edit?usp=sharing"",""งบพรบ!CH58"")"),0)</f>
        <v>0</v>
      </c>
      <c r="M173" s="45">
        <f ca="1">IFERROR(__xludf.DUMMYFUNCTION("IMPORTRANGE(""https://docs.google.com/spreadsheets/d/1MeEWN-I1oV_STSDYn1IFDPWt_1FKiwhDph83XaGc0o0/edit?usp=sharing"",""งบพรบ!CK58"")"),0)</f>
        <v>0</v>
      </c>
      <c r="N173" s="45">
        <f ca="1">IFERROR(__xludf.DUMMYFUNCTION("IMPORTRANGE(""https://docs.google.com/spreadsheets/d/1MeEWN-I1oV_STSDYn1IFDPWt_1FKiwhDph83XaGc0o0/edit?usp=sharing"",""งบพรบ!CM58"")"),0)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IFERROR(__xludf.DUMMYFUNCTION("IMPORTRANGE(""https://docs.google.com/spreadsheets/d/1QqKyyYR6Q21VydFLVH3TRQUabQu_ym0Zz7PgGX0-kHA/edit?usp=sharing"",""แผน!Y58"")"),10)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38600</v>
      </c>
      <c r="M181" s="154">
        <f t="shared" ca="1" si="92"/>
        <v>45320</v>
      </c>
      <c r="N181" s="154">
        <f t="shared" ca="1" si="92"/>
        <v>45320</v>
      </c>
      <c r="O181" s="154">
        <f t="shared" ref="O181:O189" ca="1" si="93">IF(L181&gt;0,N181*100/L181,0)</f>
        <v>117.40932642487047</v>
      </c>
      <c r="P181" s="154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38600</v>
      </c>
      <c r="M183" s="45">
        <f t="shared" ca="1" si="95"/>
        <v>45320</v>
      </c>
      <c r="N183" s="45">
        <f t="shared" ca="1" si="95"/>
        <v>45320</v>
      </c>
      <c r="O183" s="45">
        <f t="shared" ca="1" si="93"/>
        <v>117.40932642487047</v>
      </c>
      <c r="P183" s="45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38600</v>
      </c>
      <c r="M184" s="38">
        <f t="shared" ca="1" si="96"/>
        <v>45320</v>
      </c>
      <c r="N184" s="38">
        <f t="shared" ca="1" si="96"/>
        <v>45320</v>
      </c>
      <c r="O184" s="38">
        <f t="shared" ca="1" si="93"/>
        <v>117.40932642487047</v>
      </c>
      <c r="P184" s="3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IFERROR(__xludf.DUMMYFUNCTION("IMPORTRANGE(""https://docs.google.com/spreadsheets/d/1MeEWN-I1oV_STSDYn1IFDPWt_1FKiwhDph83XaGc0o0/edit?usp=sharing"",""งบพรบ!CO58"")"),38600)</f>
        <v>38600</v>
      </c>
      <c r="M186" s="45">
        <f ca="1">IFERROR(__xludf.DUMMYFUNCTION("IMPORTRANGE(""https://docs.google.com/spreadsheets/d/1MeEWN-I1oV_STSDYn1IFDPWt_1FKiwhDph83XaGc0o0/edit?usp=sharing"",""งบพรบ!CT58"")"),45320)</f>
        <v>45320</v>
      </c>
      <c r="N186" s="45">
        <f ca="1">IFERROR(__xludf.DUMMYFUNCTION("IMPORTRANGE(""https://docs.google.com/spreadsheets/d/1MeEWN-I1oV_STSDYn1IFDPWt_1FKiwhDph83XaGc0o0/edit?usp=sharing"",""งบพรบ!CV58"")"),45320)</f>
        <v>45320</v>
      </c>
      <c r="O186" s="45">
        <f t="shared" ca="1" si="93"/>
        <v>117.40932642487047</v>
      </c>
      <c r="P186" s="45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IFERROR(__xludf.DUMMYFUNCTION("IMPORTRANGE(""https://docs.google.com/spreadsheets/d/1MeEWN-I1oV_STSDYn1IFDPWt_1FKiwhDph83XaGc0o0/edit?usp=sharing"",""งบพรบ!CR58"")"),0)</f>
        <v>0</v>
      </c>
      <c r="M189" s="45">
        <f ca="1">IFERROR(__xludf.DUMMYFUNCTION("IMPORTRANGE(""https://docs.google.com/spreadsheets/d/1MeEWN-I1oV_STSDYn1IFDPWt_1FKiwhDph83XaGc0o0/edit?usp=sharing"",""งบพรบ!CU58"")"),0)</f>
        <v>0</v>
      </c>
      <c r="N189" s="45">
        <f ca="1">IFERROR(__xludf.DUMMYFUNCTION("IMPORTRANGE(""https://docs.google.com/spreadsheets/d/1MeEWN-I1oV_STSDYn1IFDPWt_1FKiwhDph83XaGc0o0/edit?usp=sharing"",""งบพรบ!CW58"")"),0)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IFERROR(__xludf.DUMMYFUNCTION("IMPORTRANGE(""https://docs.google.com/spreadsheets/d/1QqKyyYR6Q21VydFLVH3TRQUabQu_ym0Zz7PgGX0-kHA/edit?usp=sharing"",""แผน!Z58"")"),6000)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IFERROR(__xludf.DUMMYFUNCTION("IMPORTRANGE(""https://docs.google.com/spreadsheets/d/1QqKyyYR6Q21VydFLVH3TRQUabQu_ym0Zz7PgGX0-kHA/edit?usp=sharing"",""แผน!AC58"")"),4)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119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119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IFERROR(__xludf.DUMMYFUNCTION("IMPORTRANGE(""https://docs.google.com/spreadsheets/d/1QqKyyYR6Q21VydFLVH3TRQUabQu_ym0Zz7PgGX0-kHA/edit?usp=sharing"",""แผน!AE58"")"),1000)</f>
        <v>1000</v>
      </c>
      <c r="M199" s="38"/>
      <c r="N199" s="271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IFERROR(__xludf.DUMMYFUNCTION("IMPORTRANGE(""https://docs.google.com/spreadsheets/d/1QqKyyYR6Q21VydFLVH3TRQUabQu_ym0Zz7PgGX0-kHA/edit?usp=sharing"",""แผน!AF58"")"),8000)</f>
        <v>8000</v>
      </c>
      <c r="M200" s="38"/>
      <c r="N200" s="271">
        <v>8000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IFERROR(__xludf.DUMMYFUNCTION("IMPORTRANGE(""https://docs.google.com/spreadsheets/d/1QqKyyYR6Q21VydFLVH3TRQUabQu_ym0Zz7PgGX0-kHA/edit?usp=sharing"",""แผน!AG58"")"),4000)</f>
        <v>4000</v>
      </c>
      <c r="M201" s="38"/>
      <c r="N201" s="271">
        <v>4000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IFERROR(__xludf.DUMMYFUNCTION("IMPORTRANGE(""https://docs.google.com/spreadsheets/d/1QqKyyYR6Q21VydFLVH3TRQUabQu_ym0Zz7PgGX0-kHA/edit?usp=sharing"",""แผน!AH58"")"),0)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IFERROR(__xludf.DUMMYFUNCTION("IMPORTRANGE(""https://docs.google.com/spreadsheets/d/1QqKyyYR6Q21VydFLVH3TRQUabQu_ym0Zz7PgGX0-kHA/edit?usp=sharing"",""แผน!AI58"")"),1)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IFERROR(__xludf.DUMMYFUNCTION("IMPORTRANGE(""https://docs.google.com/spreadsheets/d/1QqKyyYR6Q21VydFLVH3TRQUabQu_ym0Zz7PgGX0-kHA/edit?usp=sharing"",""แผน!AK58"")"),1000)</f>
        <v>1000</v>
      </c>
      <c r="M210" s="38"/>
      <c r="N210" s="271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IFERROR(__xludf.DUMMYFUNCTION("IMPORTRANGE(""https://docs.google.com/spreadsheets/d/1QqKyyYR6Q21VydFLVH3TRQUabQu_ym0Zz7PgGX0-kHA/edit?usp=sharing"",""แผน!AL58"")"),5000)</f>
        <v>5000</v>
      </c>
      <c r="M211" s="38"/>
      <c r="N211" s="271">
        <v>5000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IFERROR(__xludf.DUMMYFUNCTION("IMPORTRANGE(""https://docs.google.com/spreadsheets/d/1QqKyyYR6Q21VydFLVH3TRQUabQu_ym0Zz7PgGX0-kHA/edit?usp=sharing"",""แผน!AM58"")"),8000)</f>
        <v>8000</v>
      </c>
      <c r="M212" s="38"/>
      <c r="N212" s="271">
        <v>8000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IFERROR(__xludf.DUMMYFUNCTION("IMPORTRANGE(""https://docs.google.com/spreadsheets/d/1QqKyyYR6Q21VydFLVH3TRQUabQu_ym0Zz7PgGX0-kHA/edit?usp=sharing"",""แผน!AN58"")"),1)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IFERROR(__xludf.DUMMYFUNCTION("IMPORTRANGE(""https://docs.google.com/spreadsheets/d/1QqKyyYR6Q21VydFLVH3TRQUabQu_ym0Zz7PgGX0-kHA/edit?usp=sharing"",""แผน!AN58"")"),1)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3200</v>
      </c>
      <c r="J216" s="260">
        <f t="shared" si="103"/>
        <v>3200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5600</v>
      </c>
      <c r="M217" s="154"/>
      <c r="N217" s="154">
        <f>N218+N219+N220</f>
        <v>5600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IFERROR(__xludf.DUMMYFUNCTION("IMPORTRANGE(""https://docs.google.com/spreadsheets/d/1QqKyyYR6Q21VydFLVH3TRQUabQu_ym0Zz7PgGX0-kHA/edit?usp=sharing"",""แผน!AP58"")"),3000)</f>
        <v>3000</v>
      </c>
      <c r="M218" s="38"/>
      <c r="N218" s="271">
        <v>5600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IFERROR(__xludf.DUMMYFUNCTION("IMPORTRANGE(""https://docs.google.com/spreadsheets/d/1QqKyyYR6Q21VydFLVH3TRQUabQu_ym0Zz7PgGX0-kHA/edit?usp=sharing"",""แผน!AQ58"")"),2600)</f>
        <v>2600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IFERROR(__xludf.DUMMYFUNCTION("IMPORTRANGE(""https://docs.google.com/spreadsheets/d/1QqKyyYR6Q21VydFLVH3TRQUabQu_ym0Zz7PgGX0-kHA/edit?usp=sharing"",""แผน!AR58"")"),0)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IFERROR(__xludf.DUMMYFUNCTION("IMPORTRANGE(""https://docs.google.com/spreadsheets/d/1QqKyyYR6Q21VydFLVH3TRQUabQu_ym0Zz7PgGX0-kHA/edit?usp=sharing"",""แผน!AT58"")"),3200)</f>
        <v>3200</v>
      </c>
      <c r="J223" s="181">
        <v>3200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IFERROR(__xludf.DUMMYFUNCTION("IMPORTRANGE(""https://docs.google.com/spreadsheets/d/1QqKyyYR6Q21VydFLVH3TRQUabQu_ym0Zz7PgGX0-kHA/edit?usp=sharing"",""แผน!AT58"")"),3200)</f>
        <v>3200</v>
      </c>
      <c r="J224" s="181">
        <v>3200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IFERROR(__xludf.DUMMYFUNCTION("IMPORTRANGE(""https://docs.google.com/spreadsheets/d/1QqKyyYR6Q21VydFLVH3TRQUabQu_ym0Zz7PgGX0-kHA/edit?usp=sharing"",""แผน!AV58"")"),0)</f>
        <v>0</v>
      </c>
      <c r="M239" s="270"/>
      <c r="N239" s="808">
        <v>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 hidden="1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IFERROR(__xludf.DUMMYFUNCTION("IMPORTRANGE(""https://docs.google.com/spreadsheets/d/1QqKyyYR6Q21VydFLVH3TRQUabQu_ym0Zz7PgGX0-kHA/edit?usp=sharing"",""แผน!AW58"")"),0)</f>
        <v>0</v>
      </c>
      <c r="M240" s="270"/>
      <c r="N240" s="808">
        <v>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IFERROR(__xludf.DUMMYFUNCTION("IMPORTRANGE(""https://docs.google.com/spreadsheets/d/1QqKyyYR6Q21VydFLVH3TRQUabQu_ym0Zz7PgGX0-kHA/edit?usp=sharing"",""แผน!AX58"")"),0)</f>
        <v>0</v>
      </c>
      <c r="M241" s="270"/>
      <c r="N241" s="808">
        <v>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IFERROR(__xludf.DUMMYFUNCTION("IMPORTRANGE(""https://docs.google.com/spreadsheets/d/1QqKyyYR6Q21VydFLVH3TRQUabQu_ym0Zz7PgGX0-kHA/edit?usp=sharing"",""แผน!AY58"")"),0)</f>
        <v>0</v>
      </c>
      <c r="M242" s="270"/>
      <c r="N242" s="808">
        <v>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IFERROR(__xludf.DUMMYFUNCTION("IMPORTRANGE(""https://docs.google.com/spreadsheets/d/1QqKyyYR6Q21VydFLVH3TRQUabQu_ym0Zz7PgGX0-kHA/edit?usp=sharing"",""แผน!AZ58"")"),0)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IFERROR(__xludf.DUMMYFUNCTION("IMPORTRANGE(""https://docs.google.com/spreadsheets/d/1QqKyyYR6Q21VydFLVH3TRQUabQu_ym0Zz7PgGX0-kHA/edit?usp=sharing"",""แผน!BA58"")"),0)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IFERROR(__xludf.DUMMYFUNCTION("IMPORTRANGE(""https://docs.google.com/spreadsheets/d/1QqKyyYR6Q21VydFLVH3TRQUabQu_ym0Zz7PgGX0-kHA/edit?usp=sharing"",""แผน!BB58"")"),0)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IFERROR(__xludf.DUMMYFUNCTION("IMPORTRANGE(""https://docs.google.com/spreadsheets/d/1QqKyyYR6Q21VydFLVH3TRQUabQu_ym0Zz7PgGX0-kHA/edit?usp=sharing"",""แผน!BC58"")"),0)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24615</v>
      </c>
      <c r="O261" s="154">
        <f t="shared" ref="O261:O269" ca="1" si="117">IF(L261&gt;0,N261*100/L261,0)</f>
        <v>91.505576208178439</v>
      </c>
      <c r="P261" s="154">
        <f t="shared" ref="P261:P269" ca="1" si="118">IF(M261&gt;0,N261*100/M261,0)</f>
        <v>91.505576208178439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24615</v>
      </c>
      <c r="O263" s="45">
        <f t="shared" ca="1" si="117"/>
        <v>91.505576208178439</v>
      </c>
      <c r="P263" s="45">
        <f t="shared" ca="1" si="118"/>
        <v>91.505576208178439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24615</v>
      </c>
      <c r="O264" s="38">
        <f t="shared" ca="1" si="117"/>
        <v>91.505576208178439</v>
      </c>
      <c r="P264" s="38">
        <f t="shared" ca="1" si="118"/>
        <v>91.505576208178439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IFERROR(__xludf.DUMMYFUNCTION("IMPORTRANGE(""https://docs.google.com/spreadsheets/d/1MeEWN-I1oV_STSDYn1IFDPWt_1FKiwhDph83XaGc0o0/edit?usp=sharing"",""งบพรบ!CY58"")"),26900)</f>
        <v>26900</v>
      </c>
      <c r="M266" s="45">
        <f ca="1">IFERROR(__xludf.DUMMYFUNCTION("IMPORTRANGE(""https://docs.google.com/spreadsheets/d/1MeEWN-I1oV_STSDYn1IFDPWt_1FKiwhDph83XaGc0o0/edit?usp=sharing"",""งบพรบ!DD58"")"),26900)</f>
        <v>26900</v>
      </c>
      <c r="N266" s="45">
        <f ca="1">IFERROR(__xludf.DUMMYFUNCTION("IMPORTRANGE(""https://docs.google.com/spreadsheets/d/1MeEWN-I1oV_STSDYn1IFDPWt_1FKiwhDph83XaGc0o0/edit?usp=sharing"",""งบพรบ!DF58"")"),24615)</f>
        <v>24615</v>
      </c>
      <c r="O266" s="45">
        <f t="shared" ca="1" si="117"/>
        <v>91.505576208178439</v>
      </c>
      <c r="P266" s="45">
        <f t="shared" ca="1" si="118"/>
        <v>91.505576208178439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IFERROR(__xludf.DUMMYFUNCTION("IMPORTRANGE(""https://docs.google.com/spreadsheets/d/1MeEWN-I1oV_STSDYn1IFDPWt_1FKiwhDph83XaGc0o0/edit?usp=sharing"",""งบพรบ!DB58"")"),0)</f>
        <v>0</v>
      </c>
      <c r="M269" s="45">
        <f ca="1">IFERROR(__xludf.DUMMYFUNCTION("IMPORTRANGE(""https://docs.google.com/spreadsheets/d/1MeEWN-I1oV_STSDYn1IFDPWt_1FKiwhDph83XaGc0o0/edit?usp=sharing"",""งบพรบ!DE58"")"),0)</f>
        <v>0</v>
      </c>
      <c r="N269" s="45">
        <f ca="1">IFERROR(__xludf.DUMMYFUNCTION("IMPORTRANGE(""https://docs.google.com/spreadsheets/d/1MeEWN-I1oV_STSDYn1IFDPWt_1FKiwhDph83XaGc0o0/edit?usp=sharing"",""งบพรบ!DG58"")"),0)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IFERROR(__xludf.DUMMYFUNCTION("IMPORTRANGE(""https://docs.google.com/spreadsheets/d/1QqKyyYR6Q21VydFLVH3TRQUabQu_ym0Zz7PgGX0-kHA/edit?usp=sharing"",""แผน!EA58"")"),22)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0</v>
      </c>
      <c r="J276" s="81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IFERROR(__xludf.DUMMYFUNCTION("IMPORTRANGE(""https://docs.google.com/spreadsheets/d/1MeEWN-I1oV_STSDYn1IFDPWt_1FKiwhDph83XaGc0o0/edit?usp=sharing"",""งบพรบ!DI58"")"),0)</f>
        <v>0</v>
      </c>
      <c r="M282" s="45">
        <f ca="1">IFERROR(__xludf.DUMMYFUNCTION("IMPORTRANGE(""https://docs.google.com/spreadsheets/d/1MeEWN-I1oV_STSDYn1IFDPWt_1FKiwhDph83XaGc0o0/edit?usp=sharing"",""งบพรบ!DN58"")"),0)</f>
        <v>0</v>
      </c>
      <c r="N282" s="45">
        <f ca="1">IFERROR(__xludf.DUMMYFUNCTION("IMPORTRANGE(""https://docs.google.com/spreadsheets/d/1MeEWN-I1oV_STSDYn1IFDPWt_1FKiwhDph83XaGc0o0/edit?usp=sharing"",""งบพรบ!DP58"")"),0)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IFERROR(__xludf.DUMMYFUNCTION("IMPORTRANGE(""https://docs.google.com/spreadsheets/d/1MeEWN-I1oV_STSDYn1IFDPWt_1FKiwhDph83XaGc0o0/edit?usp=sharing"",""งบพรบ!DL58"")"),0)</f>
        <v>0</v>
      </c>
      <c r="M285" s="45">
        <f ca="1">IFERROR(__xludf.DUMMYFUNCTION("IMPORTRANGE(""https://docs.google.com/spreadsheets/d/1MeEWN-I1oV_STSDYn1IFDPWt_1FKiwhDph83XaGc0o0/edit?usp=sharing"",""งบพรบ!DO58"")"),0)</f>
        <v>0</v>
      </c>
      <c r="N285" s="45">
        <f ca="1">IFERROR(__xludf.DUMMYFUNCTION("IMPORTRANGE(""https://docs.google.com/spreadsheets/d/1MeEWN-I1oV_STSDYn1IFDPWt_1FKiwhDph83XaGc0o0/edit?usp=sharing"",""งบพรบ!DQ58"")"),0)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IFERROR(__xludf.DUMMYFUNCTION("IMPORTRANGE(""https://docs.google.com/spreadsheets/d/1QqKyyYR6Q21VydFLVH3TRQUabQu_ym0Zz7PgGX0-kHA/edit?usp=sharing"",""แผน!EC58"")"),0)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IFERROR(__xludf.DUMMYFUNCTION("IMPORTRANGE(""https://docs.google.com/spreadsheets/d/1QqKyyYR6Q21VydFLVH3TRQUabQu_ym0Zz7PgGX0-kHA/edit?usp=sharing"",""แผน!EB58"")"),0)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IFERROR(__xludf.DUMMYFUNCTION("IMPORTRANGE(""https://docs.google.com/spreadsheets/d/1QqKyyYR6Q21VydFLVH3TRQUabQu_ym0Zz7PgGX0-kHA/edit?usp=sharing"",""แผน!EB58"")"),0)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IFERROR(__xludf.DUMMYFUNCTION("IMPORTRANGE(""https://docs.google.com/spreadsheets/d/1QqKyyYR6Q21VydFLVH3TRQUabQu_ym0Zz7PgGX0-kHA/edit?usp=sharing"",""แผน!EB58"")"),0)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IFERROR(__xludf.DUMMYFUNCTION("IMPORTRANGE(""https://docs.google.com/spreadsheets/d/1QqKyyYR6Q21VydFLVH3TRQUabQu_ym0Zz7PgGX0-kHA/edit?usp=sharing"",""แผน!EB58"")"),0)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IFERROR(__xludf.DUMMYFUNCTION("IMPORTRANGE(""https://docs.google.com/spreadsheets/d/1QqKyyYR6Q21VydFLVH3TRQUabQu_ym0Zz7PgGX0-kHA/edit?usp=sharing"",""แผน!EB58"")"),0)</f>
        <v>0</v>
      </c>
      <c r="J294" s="401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IFERROR(__xludf.DUMMYFUNCTION("IMPORTRANGE(""https://docs.google.com/spreadsheets/d/1MeEWN-I1oV_STSDYn1IFDPWt_1FKiwhDph83XaGc0o0/edit?usp=sharing"",""งบพรบ!DS58"")"),0)</f>
        <v>0</v>
      </c>
      <c r="M303" s="45">
        <f ca="1">IFERROR(__xludf.DUMMYFUNCTION("IMPORTRANGE(""https://docs.google.com/spreadsheets/d/1MeEWN-I1oV_STSDYn1IFDPWt_1FKiwhDph83XaGc0o0/edit?usp=sharing"",""งบพรบ!DX58"")"),0)</f>
        <v>0</v>
      </c>
      <c r="N303" s="45">
        <f ca="1">IFERROR(__xludf.DUMMYFUNCTION("IMPORTRANGE(""https://docs.google.com/spreadsheets/d/1MeEWN-I1oV_STSDYn1IFDPWt_1FKiwhDph83XaGc0o0/edit?usp=sharing"",""งบพรบ!DZ58"")"),0)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IFERROR(__xludf.DUMMYFUNCTION("IMPORTRANGE(""https://docs.google.com/spreadsheets/d/1MeEWN-I1oV_STSDYn1IFDPWt_1FKiwhDph83XaGc0o0/edit?usp=sharing"",""งบพรบ!DV58"")"),0)</f>
        <v>0</v>
      </c>
      <c r="M306" s="45">
        <f ca="1">IFERROR(__xludf.DUMMYFUNCTION("IMPORTRANGE(""https://docs.google.com/spreadsheets/d/1MeEWN-I1oV_STSDYn1IFDPWt_1FKiwhDph83XaGc0o0/edit?usp=sharing"",""งบพรบ!DY58"")"),0)</f>
        <v>0</v>
      </c>
      <c r="N306" s="45">
        <f ca="1">IFERROR(__xludf.DUMMYFUNCTION("IMPORTRANGE(""https://docs.google.com/spreadsheets/d/1MeEWN-I1oV_STSDYn1IFDPWt_1FKiwhDph83XaGc0o0/edit?usp=sharing"",""งบพรบ!EA58"")"),0)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IFERROR(__xludf.DUMMYFUNCTION("IMPORTRANGE(""https://docs.google.com/spreadsheets/d/1QqKyyYR6Q21VydFLVH3TRQUabQu_ym0Zz7PgGX0-kHA/edit?usp=sharing"",""แผน!ED58"")"),0)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IFERROR(__xludf.DUMMYFUNCTION("IMPORTRANGE(""https://docs.google.com/spreadsheets/d/1QqKyyYR6Q21VydFLVH3TRQUabQu_ym0Zz7PgGX0-kHA/edit?usp=sharing"",""แผน!ED58"")"),0)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IFERROR(__xludf.DUMMYFUNCTION("IMPORTRANGE(""https://docs.google.com/spreadsheets/d/1QqKyyYR6Q21VydFLVH3TRQUabQu_ym0Zz7PgGX0-kHA/edit?usp=sharing"",""แผน!ED58"")"),0)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IFERROR(__xludf.DUMMYFUNCTION("IMPORTRANGE(""https://docs.google.com/spreadsheets/d/1QqKyyYR6Q21VydFLVH3TRQUabQu_ym0Zz7PgGX0-kHA/edit?usp=sharing"",""แผน!EE58"")"),0)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IFERROR(__xludf.DUMMYFUNCTION("IMPORTRANGE(""https://docs.google.com/spreadsheets/d/1MeEWN-I1oV_STSDYn1IFDPWt_1FKiwhDph83XaGc0o0/edit?usp=sharing"",""งบพรบ!EC58"")"),0)</f>
        <v>0</v>
      </c>
      <c r="M320" s="45">
        <f ca="1">IFERROR(__xludf.DUMMYFUNCTION("IMPORTRANGE(""https://docs.google.com/spreadsheets/d/1MeEWN-I1oV_STSDYn1IFDPWt_1FKiwhDph83XaGc0o0/edit?usp=sharing"",""งบพรบ!EH58"")"),0)</f>
        <v>0</v>
      </c>
      <c r="N320" s="45">
        <f ca="1">IFERROR(__xludf.DUMMYFUNCTION("IMPORTRANGE(""https://docs.google.com/spreadsheets/d/1MeEWN-I1oV_STSDYn1IFDPWt_1FKiwhDph83XaGc0o0/edit?usp=sharing"",""งบพรบ!EJ58"")"),0)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IFERROR(__xludf.DUMMYFUNCTION("IMPORTRANGE(""https://docs.google.com/spreadsheets/d/1MeEWN-I1oV_STSDYn1IFDPWt_1FKiwhDph83XaGc0o0/edit?usp=sharing"",""งบพรบ!EF58"")"),0)</f>
        <v>0</v>
      </c>
      <c r="M323" s="45">
        <f ca="1">IFERROR(__xludf.DUMMYFUNCTION("IMPORTRANGE(""https://docs.google.com/spreadsheets/d/1MeEWN-I1oV_STSDYn1IFDPWt_1FKiwhDph83XaGc0o0/edit?usp=sharing"",""งบพรบ!EI58"")"),0)</f>
        <v>0</v>
      </c>
      <c r="N323" s="45">
        <f ca="1">IFERROR(__xludf.DUMMYFUNCTION("IMPORTRANGE(""https://docs.google.com/spreadsheets/d/1MeEWN-I1oV_STSDYn1IFDPWt_1FKiwhDph83XaGc0o0/edit?usp=sharing"",""งบพรบ!EK58"")"),0)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IFERROR(__xludf.DUMMYFUNCTION("IMPORTRANGE(""https://docs.google.com/spreadsheets/d/1QqKyyYR6Q21VydFLVH3TRQUabQu_ym0Zz7PgGX0-kHA/edit?usp=sharing"",""แผน!EG58"")"),600)</f>
        <v>600</v>
      </c>
      <c r="J327" s="421">
        <f ca="1">J338+J341+J342+J343</f>
        <v>2269</v>
      </c>
      <c r="K327" s="422">
        <f ca="1">IF(I327&gt;0,J327*100/I327,0)</f>
        <v>378.16666666666669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157000</v>
      </c>
      <c r="M328" s="154">
        <f t="shared" ca="1" si="149"/>
        <v>159500</v>
      </c>
      <c r="N328" s="154">
        <f t="shared" ca="1" si="149"/>
        <v>139792</v>
      </c>
      <c r="O328" s="154">
        <f t="shared" ref="O328:O336" ca="1" si="150">IF(L328&gt;0,N328*100/L328,0)</f>
        <v>89.039490445859869</v>
      </c>
      <c r="P328" s="154">
        <f t="shared" ref="P328:P336" ca="1" si="151">IF(M328&gt;0,N328*100/M328,0)</f>
        <v>87.64388714733542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157000</v>
      </c>
      <c r="M330" s="45">
        <f t="shared" ca="1" si="152"/>
        <v>159500</v>
      </c>
      <c r="N330" s="45">
        <f t="shared" ca="1" si="152"/>
        <v>139792</v>
      </c>
      <c r="O330" s="45">
        <f t="shared" ca="1" si="150"/>
        <v>89.039490445859869</v>
      </c>
      <c r="P330" s="45">
        <f t="shared" ca="1" si="151"/>
        <v>87.64388714733542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157000</v>
      </c>
      <c r="M331" s="38">
        <f t="shared" ca="1" si="153"/>
        <v>159500</v>
      </c>
      <c r="N331" s="38">
        <f t="shared" ca="1" si="153"/>
        <v>139792</v>
      </c>
      <c r="O331" s="38">
        <f t="shared" ca="1" si="150"/>
        <v>89.039490445859869</v>
      </c>
      <c r="P331" s="38">
        <f t="shared" ca="1" si="151"/>
        <v>87.64388714733542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IFERROR(__xludf.DUMMYFUNCTION("IMPORTRANGE(""https://docs.google.com/spreadsheets/d/1MeEWN-I1oV_STSDYn1IFDPWt_1FKiwhDph83XaGc0o0/edit?usp=sharing"",""งบพรบ!EM58"")"),157000)</f>
        <v>157000</v>
      </c>
      <c r="M333" s="45">
        <f ca="1">IFERROR(__xludf.DUMMYFUNCTION("IMPORTRANGE(""https://docs.google.com/spreadsheets/d/1MeEWN-I1oV_STSDYn1IFDPWt_1FKiwhDph83XaGc0o0/edit?usp=sharing"",""งบพรบ!ER58"")"),159500)</f>
        <v>159500</v>
      </c>
      <c r="N333" s="45">
        <f ca="1">IFERROR(__xludf.DUMMYFUNCTION("IMPORTRANGE(""https://docs.google.com/spreadsheets/d/1MeEWN-I1oV_STSDYn1IFDPWt_1FKiwhDph83XaGc0o0/edit?usp=sharing"",""งบพรบ!ET58"")"),139792)</f>
        <v>139792</v>
      </c>
      <c r="O333" s="45">
        <f t="shared" ca="1" si="150"/>
        <v>89.039490445859869</v>
      </c>
      <c r="P333" s="45">
        <f t="shared" ca="1" si="151"/>
        <v>87.64388714733542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IFERROR(__xludf.DUMMYFUNCTION("IMPORTRANGE(""https://docs.google.com/spreadsheets/d/1MeEWN-I1oV_STSDYn1IFDPWt_1FKiwhDph83XaGc0o0/edit?usp=sharing"",""งบพรบ!EP58"")"),0)</f>
        <v>0</v>
      </c>
      <c r="M336" s="45">
        <f ca="1">IFERROR(__xludf.DUMMYFUNCTION("IMPORTRANGE(""https://docs.google.com/spreadsheets/d/1MeEWN-I1oV_STSDYn1IFDPWt_1FKiwhDph83XaGc0o0/edit?usp=sharing"",""งบพรบ!ES58"")"),0)</f>
        <v>0</v>
      </c>
      <c r="N336" s="45">
        <f ca="1">IFERROR(__xludf.DUMMYFUNCTION("IMPORTRANGE(""https://docs.google.com/spreadsheets/d/1MeEWN-I1oV_STSDYn1IFDPWt_1FKiwhDph83XaGc0o0/edit?usp=sharing"",""งบพรบ!EU58"")"),0)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IFERROR(__xludf.DUMMYFUNCTION("IMPORTRANGE(""https://docs.google.com/spreadsheets/d/1QqKyyYR6Q21VydFLVH3TRQUabQu_ym0Zz7PgGX0-kHA/edit?usp=sharing"",""แผน!EG58"")"),600)</f>
        <v>600</v>
      </c>
      <c r="J338" s="37">
        <f ca="1">IFERROR(__xludf.DUMMYFUNCTION("IMPORTRANGE(""https://docs.google.com/spreadsheets/d/1kVcqe37tkHyjCSG3S0O1AXqVkqjo8mSIZil3BcpIysc/edit?usp=sharing"",""ศูนย์!D58"")"),2212)</f>
        <v>2212</v>
      </c>
      <c r="K338" s="38">
        <f ca="1">IF(I338&gt;0,J338*100/I338,0)</f>
        <v>368.66666666666669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IFERROR(__xludf.DUMMYFUNCTION("IMPORTRANGE(""https://docs.google.com/spreadsheets/d/1QqKyyYR6Q21VydFLVH3TRQUabQu_ym0Zz7PgGX0-kHA/edit?usp=sharing"",""แผน!EH58"")"),2)</f>
        <v>2</v>
      </c>
      <c r="J340" s="37">
        <f ca="1">IFERROR(__xludf.DUMMYFUNCTION("IMPORTRANGE(""https://docs.google.com/spreadsheets/d/1kVcqe37tkHyjCSG3S0O1AXqVkqjo8mSIZil3BcpIysc/edit?usp=sharing"",""ศูนย์!E58"")"),2)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IFERROR(__xludf.DUMMYFUNCTION("IMPORTRANGE(""https://docs.google.com/spreadsheets/d/1kVcqe37tkHyjCSG3S0O1AXqVkqjo8mSIZil3BcpIysc/edit?usp=sharing"",""ศูนย์!F58"")"),56)</f>
        <v>56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IFERROR(__xludf.DUMMYFUNCTION("IMPORTRANGE(""https://docs.google.com/spreadsheets/d/1kVcqe37tkHyjCSG3S0O1AXqVkqjo8mSIZil3BcpIysc/edit?usp=sharing"",""ศูนย์!G58"")"),1)</f>
        <v>1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IFERROR(__xludf.DUMMYFUNCTION("IMPORTRANGE(""https://docs.google.com/spreadsheets/d/1kVcqe37tkHyjCSG3S0O1AXqVkqjo8mSIZil3BcpIysc/edit?usp=sharing"",""ศูนย์!H58"")"),0)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578780</v>
      </c>
      <c r="M345" s="154">
        <f t="shared" ca="1" si="155"/>
        <v>766480</v>
      </c>
      <c r="N345" s="154">
        <f t="shared" ca="1" si="155"/>
        <v>618797</v>
      </c>
      <c r="O345" s="154">
        <f t="shared" ref="O345:O353" ca="1" si="156">IF(L345&gt;0,N345*100/L345,0)</f>
        <v>106.91402605480494</v>
      </c>
      <c r="P345" s="154">
        <f t="shared" ref="P345:P353" ca="1" si="157">IF(M345&gt;0,N345*100/M345,0)</f>
        <v>80.732308736040082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578780</v>
      </c>
      <c r="M347" s="45">
        <f t="shared" ca="1" si="158"/>
        <v>766480</v>
      </c>
      <c r="N347" s="45">
        <f t="shared" ca="1" si="158"/>
        <v>618797</v>
      </c>
      <c r="O347" s="45">
        <f t="shared" ca="1" si="156"/>
        <v>106.91402605480494</v>
      </c>
      <c r="P347" s="45">
        <f t="shared" ca="1" si="157"/>
        <v>80.732308736040082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562780</v>
      </c>
      <c r="M348" s="38">
        <f t="shared" ca="1" si="159"/>
        <v>751980</v>
      </c>
      <c r="N348" s="38">
        <f t="shared" ca="1" si="159"/>
        <v>604297</v>
      </c>
      <c r="O348" s="38">
        <f t="shared" ca="1" si="156"/>
        <v>107.37712782970254</v>
      </c>
      <c r="P348" s="38">
        <f t="shared" ca="1" si="157"/>
        <v>80.360780871831693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IFERROR(__xludf.DUMMYFUNCTION("IMPORTRANGE(""https://docs.google.com/spreadsheets/d/1MeEWN-I1oV_STSDYn1IFDPWt_1FKiwhDph83XaGc0o0/edit?usp=sharing"",""งบพรบ!EW58"")"),562780)</f>
        <v>562780</v>
      </c>
      <c r="M350" s="45">
        <f ca="1">IFERROR(__xludf.DUMMYFUNCTION("IMPORTRANGE(""https://docs.google.com/spreadsheets/d/1MeEWN-I1oV_STSDYn1IFDPWt_1FKiwhDph83XaGc0o0/edit?usp=sharing"",""งบพรบ!FB58"")"),751980)</f>
        <v>751980</v>
      </c>
      <c r="N350" s="45">
        <f ca="1">IFERROR(__xludf.DUMMYFUNCTION("IMPORTRANGE(""https://docs.google.com/spreadsheets/d/1MeEWN-I1oV_STSDYn1IFDPWt_1FKiwhDph83XaGc0o0/edit?usp=sharing"",""งบพรบ!FD58"")"),604297)</f>
        <v>604297</v>
      </c>
      <c r="O350" s="45">
        <f t="shared" ca="1" si="156"/>
        <v>107.37712782970254</v>
      </c>
      <c r="P350" s="45">
        <f t="shared" ca="1" si="157"/>
        <v>80.360780871831693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16000</v>
      </c>
      <c r="M351" s="38">
        <f t="shared" ca="1" si="160"/>
        <v>14500</v>
      </c>
      <c r="N351" s="38">
        <f t="shared" ca="1" si="160"/>
        <v>14500</v>
      </c>
      <c r="O351" s="38">
        <f t="shared" ca="1" si="156"/>
        <v>90.625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IFERROR(__xludf.DUMMYFUNCTION("IMPORTRANGE(""https://docs.google.com/spreadsheets/d/1MeEWN-I1oV_STSDYn1IFDPWt_1FKiwhDph83XaGc0o0/edit?usp=sharing"",""งบพรบ!EZ58"")"),16000)</f>
        <v>16000</v>
      </c>
      <c r="M353" s="45">
        <f ca="1">IFERROR(__xludf.DUMMYFUNCTION("IMPORTRANGE(""https://docs.google.com/spreadsheets/d/1MeEWN-I1oV_STSDYn1IFDPWt_1FKiwhDph83XaGc0o0/edit?usp=sharing"",""งบพรบ!FC58"")"),14500)</f>
        <v>14500</v>
      </c>
      <c r="N353" s="45">
        <f ca="1">IFERROR(__xludf.DUMMYFUNCTION("IMPORTRANGE(""https://docs.google.com/spreadsheets/d/1MeEWN-I1oV_STSDYn1IFDPWt_1FKiwhDph83XaGc0o0/edit?usp=sharing"",""งบพรบ!FE58"")"),14500)</f>
        <v>14500</v>
      </c>
      <c r="O353" s="45">
        <f t="shared" ca="1" si="156"/>
        <v>90.625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IFERROR(__xludf.DUMMYFUNCTION("IMPORTRANGE(""https://docs.google.com/spreadsheets/d/1QqKyyYR6Q21VydFLVH3TRQUabQu_ym0Zz7PgGX0-kHA/edit?usp=sharing"",""แผน!EP58"")"),130)</f>
        <v>130</v>
      </c>
      <c r="J355" s="438">
        <f ca="1">J362</f>
        <v>117</v>
      </c>
      <c r="K355" s="439">
        <f ca="1">IF(I355&gt;0,J355*100/I355,0)</f>
        <v>90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IFERROR(__xludf.DUMMYFUNCTION("IMPORTRANGE(""https://docs.google.com/spreadsheets/d/1XWAQStnk-4SwqDmLtmXYiTMKHgktTP8We1SCoS47DrQ/edit?usp=sharing"",""จัดที่ดิน!W58"")"),145)</f>
        <v>145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IFERROR(__xludf.DUMMYFUNCTION("IMPORTRANGE(""https://docs.google.com/spreadsheets/d/1QqKyyYR6Q21VydFLVH3TRQUabQu_ym0Zz7PgGX0-kHA/edit?usp=sharing"",""แผน!EO58"")"),2000)</f>
        <v>2000</v>
      </c>
      <c r="J359" s="37">
        <f ca="1">IFERROR(__xludf.DUMMYFUNCTION("IMPORTRANGE(""https://docs.google.com/spreadsheets/d/1XWAQStnk-4SwqDmLtmXYiTMKHgktTP8We1SCoS47DrQ/edit?usp=sharing"",""จัดที่ดิน!X58"")"),2055.87)</f>
        <v>2055.87</v>
      </c>
      <c r="K359" s="38">
        <f t="shared" ca="1" si="161"/>
        <v>102.79349999999999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IFERROR(__xludf.DUMMYFUNCTION("IMPORTRANGE(""https://docs.google.com/spreadsheets/d/1QqKyyYR6Q21VydFLVH3TRQUabQu_ym0Zz7PgGX0-kHA/edit?usp=sharing"",""แผน!EP58"")"),130)</f>
        <v>130</v>
      </c>
      <c r="J360" s="37">
        <f ca="1">IFERROR(__xludf.DUMMYFUNCTION("IMPORTRANGE(""https://docs.google.com/spreadsheets/d/1XWAQStnk-4SwqDmLtmXYiTMKHgktTP8We1SCoS47DrQ/edit?usp=sharing"",""จัดที่ดิน!Y58"")"),136)</f>
        <v>136</v>
      </c>
      <c r="K360" s="38">
        <f t="shared" ca="1" si="161"/>
        <v>104.61538461538461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IFERROR(__xludf.DUMMYFUNCTION("IMPORTRANGE(""https://docs.google.com/spreadsheets/d/1XWAQStnk-4SwqDmLtmXYiTMKHgktTP8We1SCoS47DrQ/edit?usp=sharing"",""จัดที่ดิน!Z58"")"),1680.24)</f>
        <v>1680.24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IFERROR(__xludf.DUMMYFUNCTION("IMPORTRANGE(""https://docs.google.com/spreadsheets/d/1QqKyyYR6Q21VydFLVH3TRQUabQu_ym0Zz7PgGX0-kHA/edit?usp=sharing"",""แผน!EP58"")"),130)</f>
        <v>130</v>
      </c>
      <c r="J362" s="37">
        <f ca="1">IFERROR(__xludf.DUMMYFUNCTION("IMPORTRANGE(""https://docs.google.com/spreadsheets/d/1XWAQStnk-4SwqDmLtmXYiTMKHgktTP8We1SCoS47DrQ/edit?usp=sharing"",""จัดที่ดิน!AA58"")"),117)</f>
        <v>117</v>
      </c>
      <c r="K362" s="38">
        <f t="shared" ca="1" si="161"/>
        <v>90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IFERROR(__xludf.DUMMYFUNCTION("IMPORTRANGE(""https://docs.google.com/spreadsheets/d/1XWAQStnk-4SwqDmLtmXYiTMKHgktTP8We1SCoS47DrQ/edit?usp=sharing"",""จัดที่ดิน!AB58"")"),1315.22)</f>
        <v>1315.22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230</v>
      </c>
      <c r="J364" s="452">
        <f t="shared" ca="1" si="162"/>
        <v>382</v>
      </c>
      <c r="K364" s="453">
        <f t="shared" ca="1" si="161"/>
        <v>166.08695652173913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IFERROR(__xludf.DUMMYFUNCTION("IMPORTRANGE(""https://docs.google.com/spreadsheets/d/1QqKyyYR6Q21VydFLVH3TRQUabQu_ym0Zz7PgGX0-kHA/edit?usp=sharing"",""แผน!EJ58"")"),30)</f>
        <v>30</v>
      </c>
      <c r="J365" s="462">
        <f ca="1">J372</f>
        <v>35</v>
      </c>
      <c r="K365" s="463">
        <f t="shared" ca="1" si="161"/>
        <v>116.66666666666667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IFERROR(__xludf.DUMMYFUNCTION("IMPORTRANGE(""https://docs.google.com/spreadsheets/d/1XWAQStnk-4SwqDmLtmXYiTMKHgktTP8We1SCoS47DrQ/edit?usp=sharing"",""จัดที่ดิน!E58"")"),61)</f>
        <v>61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IFERROR(__xludf.DUMMYFUNCTION("IMPORTRANGE(""https://docs.google.com/spreadsheets/d/1QqKyyYR6Q21VydFLVH3TRQUabQu_ym0Zz7PgGX0-kHA/edit?usp=sharing"",""แผน!EI58"")"),1000)</f>
        <v>1000</v>
      </c>
      <c r="J369" s="37">
        <f ca="1">IFERROR(__xludf.DUMMYFUNCTION("IMPORTRANGE(""https://docs.google.com/spreadsheets/d/1XWAQStnk-4SwqDmLtmXYiTMKHgktTP8We1SCoS47DrQ/edit?usp=sharing"",""จัดที่ดิน!F58"")"),1288.95)</f>
        <v>1288.95</v>
      </c>
      <c r="K369" s="38">
        <f t="shared" ca="1" si="163"/>
        <v>128.89500000000001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IFERROR(__xludf.DUMMYFUNCTION("IMPORTRANGE(""https://docs.google.com/spreadsheets/d/1QqKyyYR6Q21VydFLVH3TRQUabQu_ym0Zz7PgGX0-kHA/edit?usp=sharing"",""แผน!EJ58"")"),30)</f>
        <v>30</v>
      </c>
      <c r="J370" s="37">
        <f ca="1">IFERROR(__xludf.DUMMYFUNCTION("IMPORTRANGE(""https://docs.google.com/spreadsheets/d/1XWAQStnk-4SwqDmLtmXYiTMKHgktTP8We1SCoS47DrQ/edit?usp=sharing"",""จัดที่ดิน!G58"")"),54)</f>
        <v>54</v>
      </c>
      <c r="K370" s="38">
        <f t="shared" ca="1" si="163"/>
        <v>180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IFERROR(__xludf.DUMMYFUNCTION("IMPORTRANGE(""https://docs.google.com/spreadsheets/d/1XWAQStnk-4SwqDmLtmXYiTMKHgktTP8We1SCoS47DrQ/edit?usp=sharing"",""จัดที่ดิน!H58"")"),921.64)</f>
        <v>921.64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IFERROR(__xludf.DUMMYFUNCTION("IMPORTRANGE(""https://docs.google.com/spreadsheets/d/1QqKyyYR6Q21VydFLVH3TRQUabQu_ym0Zz7PgGX0-kHA/edit?usp=sharing"",""แผน!EJ58"")"),30)</f>
        <v>30</v>
      </c>
      <c r="J372" s="37">
        <f ca="1">IFERROR(__xludf.DUMMYFUNCTION("IMPORTRANGE(""https://docs.google.com/spreadsheets/d/1XWAQStnk-4SwqDmLtmXYiTMKHgktTP8We1SCoS47DrQ/edit?usp=sharing"",""จัดที่ดิน!I58"")"),35)</f>
        <v>35</v>
      </c>
      <c r="K372" s="38">
        <f t="shared" ca="1" si="163"/>
        <v>116.66666666666667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IFERROR(__xludf.DUMMYFUNCTION("IMPORTRANGE(""https://docs.google.com/spreadsheets/d/1XWAQStnk-4SwqDmLtmXYiTMKHgktTP8We1SCoS47DrQ/edit?usp=sharing"",""จัดที่ดิน!J58"")"),556.62)</f>
        <v>556.62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IFERROR(__xludf.DUMMYFUNCTION("IMPORTRANGE(""https://docs.google.com/spreadsheets/d/1QqKyyYR6Q21VydFLVH3TRQUabQu_ym0Zz7PgGX0-kHA/edit?usp=sharing"",""แผน!EU58"")"),200)</f>
        <v>200</v>
      </c>
      <c r="J374" s="462">
        <f ca="1">J381</f>
        <v>347</v>
      </c>
      <c r="K374" s="463">
        <f t="shared" ca="1" si="163"/>
        <v>173.5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IFERROR(__xludf.DUMMYFUNCTION("IMPORTRANGE(""https://docs.google.com/spreadsheets/d/1XWAQStnk-4SwqDmLtmXYiTMKHgktTP8We1SCoS47DrQ/edit?usp=sharing"",""จัดที่ดิน!AH58"")"),84)</f>
        <v>84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IFERROR(__xludf.DUMMYFUNCTION("IMPORTRANGE(""https://docs.google.com/spreadsheets/d/1QqKyyYR6Q21VydFLVH3TRQUabQu_ym0Zz7PgGX0-kHA/edit?usp=sharing"",""แผน!ET58"")"),1000)</f>
        <v>1000</v>
      </c>
      <c r="J378" s="37">
        <f ca="1">IFERROR(__xludf.DUMMYFUNCTION("IMPORTRANGE(""https://docs.google.com/spreadsheets/d/1XWAQStnk-4SwqDmLtmXYiTMKHgktTP8We1SCoS47DrQ/edit?usp=sharing"",""จัดที่ดิน!AI58"")"),766.92)</f>
        <v>766.92</v>
      </c>
      <c r="K378" s="38">
        <f t="shared" ca="1" si="164"/>
        <v>76.691999999999993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IFERROR(__xludf.DUMMYFUNCTION("IMPORTRANGE(""https://docs.google.com/spreadsheets/d/1QqKyyYR6Q21VydFLVH3TRQUabQu_ym0Zz7PgGX0-kHA/edit?usp=sharing"",""แผน!EU58"")"),200)</f>
        <v>200</v>
      </c>
      <c r="J379" s="37">
        <f ca="1">IFERROR(__xludf.DUMMYFUNCTION("IMPORTRANGE(""https://docs.google.com/spreadsheets/d/1XWAQStnk-4SwqDmLtmXYiTMKHgktTP8We1SCoS47DrQ/edit?usp=sharing"",""จัดที่ดิน!AJ58"")"),346)</f>
        <v>346</v>
      </c>
      <c r="K379" s="38">
        <f t="shared" ca="1" si="164"/>
        <v>173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IFERROR(__xludf.DUMMYFUNCTION("IMPORTRANGE(""https://docs.google.com/spreadsheets/d/1XWAQStnk-4SwqDmLtmXYiTMKHgktTP8We1SCoS47DrQ/edit?usp=sharing"",""จัดที่ดิน!AK58"")"),5054.22)</f>
        <v>5054.22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IFERROR(__xludf.DUMMYFUNCTION("IMPORTRANGE(""https://docs.google.com/spreadsheets/d/1QqKyyYR6Q21VydFLVH3TRQUabQu_ym0Zz7PgGX0-kHA/edit?usp=sharing"",""แผน!EU58"")"),200)</f>
        <v>200</v>
      </c>
      <c r="J381" s="37">
        <f ca="1">IFERROR(__xludf.DUMMYFUNCTION("IMPORTRANGE(""https://docs.google.com/spreadsheets/d/1XWAQStnk-4SwqDmLtmXYiTMKHgktTP8We1SCoS47DrQ/edit?usp=sharing"",""จัดที่ดิน!AL58"")"),347)</f>
        <v>347</v>
      </c>
      <c r="K381" s="38">
        <f t="shared" ca="1" si="164"/>
        <v>173.5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IFERROR(__xludf.DUMMYFUNCTION("IMPORTRANGE(""https://docs.google.com/spreadsheets/d/1XWAQStnk-4SwqDmLtmXYiTMKHgktTP8We1SCoS47DrQ/edit?usp=sharing"",""จัดที่ดิน!AM58"")"),5062.08)</f>
        <v>5062.08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IFERROR(__xludf.DUMMYFUNCTION("IMPORTRANGE(""https://docs.google.com/spreadsheets/d/1QqKyyYR6Q21VydFLVH3TRQUabQu_ym0Zz7PgGX0-kHA/edit?usp=sharing"",""แผน!EW58"")"),5)</f>
        <v>5</v>
      </c>
      <c r="J385" s="365">
        <f ca="1">IFERROR(__xludf.DUMMYFUNCTION("IMPORTRANGE(""https://docs.google.com/spreadsheets/d/1XWAQStnk-4SwqDmLtmXYiTMKHgktTP8We1SCoS47DrQ/edit?usp=sharing"",""จัดที่ดิน!AP58"")"),0)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IFERROR(__xludf.DUMMYFUNCTION("IMPORTRANGE(""https://docs.google.com/spreadsheets/d/1MeEWN-I1oV_STSDYn1IFDPWt_1FKiwhDph83XaGc0o0/edit?usp=sharing"",""งบพรบ!FG58"")"),0)</f>
        <v>0</v>
      </c>
      <c r="M394" s="45">
        <f ca="1">IFERROR(__xludf.DUMMYFUNCTION("IMPORTRANGE(""https://docs.google.com/spreadsheets/d/1MeEWN-I1oV_STSDYn1IFDPWt_1FKiwhDph83XaGc0o0/edit?usp=sharing"",""งบพรบ!FL58"")"),0)</f>
        <v>0</v>
      </c>
      <c r="N394" s="45">
        <f ca="1">IFERROR(__xludf.DUMMYFUNCTION("IMPORTRANGE(""https://docs.google.com/spreadsheets/d/1MeEWN-I1oV_STSDYn1IFDPWt_1FKiwhDph83XaGc0o0/edit?usp=sharing"",""งบพรบ!FN58"")"),0)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IFERROR(__xludf.DUMMYFUNCTION("IMPORTRANGE(""https://docs.google.com/spreadsheets/d/1MeEWN-I1oV_STSDYn1IFDPWt_1FKiwhDph83XaGc0o0/edit?usp=sharing"",""งบพรบ!FJ58"")"),0)</f>
        <v>0</v>
      </c>
      <c r="M397" s="45">
        <f ca="1">IFERROR(__xludf.DUMMYFUNCTION("IMPORTRANGE(""https://docs.google.com/spreadsheets/d/1MeEWN-I1oV_STSDYn1IFDPWt_1FKiwhDph83XaGc0o0/edit?usp=sharing"",""งบพรบ!FM58"")"),0)</f>
        <v>0</v>
      </c>
      <c r="N397" s="45">
        <f ca="1">IFERROR(__xludf.DUMMYFUNCTION("IMPORTRANGE(""https://docs.google.com/spreadsheets/d/1MeEWN-I1oV_STSDYn1IFDPWt_1FKiwhDph83XaGc0o0/edit?usp=sharing"",""งบพรบ!FO58"")"),0)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IFERROR(__xludf.DUMMYFUNCTION("IMPORTRANGE(""https://docs.google.com/spreadsheets/d/1MeEWN-I1oV_STSDYn1IFDPWt_1FKiwhDph83XaGc0o0/edit?usp=sharing"",""งบพรบ!FQ58"")"),0)</f>
        <v>0</v>
      </c>
      <c r="M407" s="45">
        <f ca="1">IFERROR(__xludf.DUMMYFUNCTION("IMPORTRANGE(""https://docs.google.com/spreadsheets/d/1MeEWN-I1oV_STSDYn1IFDPWt_1FKiwhDph83XaGc0o0/edit?usp=sharing"",""งบพรบ!FV58"")"),0)</f>
        <v>0</v>
      </c>
      <c r="N407" s="45">
        <f ca="1">IFERROR(__xludf.DUMMYFUNCTION("IMPORTRANGE(""https://docs.google.com/spreadsheets/d/1MeEWN-I1oV_STSDYn1IFDPWt_1FKiwhDph83XaGc0o0/edit?usp=sharing"",""งบพรบ!FX58"")"),0)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IFERROR(__xludf.DUMMYFUNCTION("IMPORTRANGE(""https://docs.google.com/spreadsheets/d/1MeEWN-I1oV_STSDYn1IFDPWt_1FKiwhDph83XaGc0o0/edit?usp=sharing"",""งบพรบ!FT58"")"),0)</f>
        <v>0</v>
      </c>
      <c r="M410" s="45">
        <f ca="1">IFERROR(__xludf.DUMMYFUNCTION("IMPORTRANGE(""https://docs.google.com/spreadsheets/d/1MeEWN-I1oV_STSDYn1IFDPWt_1FKiwhDph83XaGc0o0/edit?usp=sharing"",""งบพรบ!FW58"")"),0)</f>
        <v>0</v>
      </c>
      <c r="N410" s="45">
        <f ca="1">IFERROR(__xludf.DUMMYFUNCTION("IMPORTRANGE(""https://docs.google.com/spreadsheets/d/1MeEWN-I1oV_STSDYn1IFDPWt_1FKiwhDph83XaGc0o0/edit?usp=sharing"",""งบพรบ!FY58"")"),0)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845893</v>
      </c>
      <c r="M414" s="518">
        <f t="shared" ca="1" si="181"/>
        <v>805893</v>
      </c>
      <c r="N414" s="518">
        <f t="shared" si="181"/>
        <v>477465</v>
      </c>
      <c r="O414" s="518">
        <f ca="1">IF(L414&gt;0,N414*100/L414,0)</f>
        <v>56.445082297642848</v>
      </c>
      <c r="P414" s="518">
        <f ca="1">IF(M414&gt;0,N414*100/M414,0)</f>
        <v>59.246699003465721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15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53848</v>
      </c>
      <c r="O419" s="154">
        <f t="shared" ref="O419:O424" ca="1" si="185">IF(L419&gt;0,N419*100/L419,0)</f>
        <v>80.901442307692307</v>
      </c>
      <c r="P419" s="154">
        <f t="shared" ref="P419:P424" ca="1" si="186">IF(M419&gt;0,N419*100/M419,0)</f>
        <v>80.901442307692307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53848</v>
      </c>
      <c r="O421" s="45">
        <f t="shared" ca="1" si="185"/>
        <v>80.901442307692307</v>
      </c>
      <c r="P421" s="45">
        <f t="shared" ca="1" si="186"/>
        <v>80.901442307692307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53848</v>
      </c>
      <c r="O422" s="38">
        <f t="shared" ca="1" si="185"/>
        <v>80.901442307692307</v>
      </c>
      <c r="P422" s="38">
        <f t="shared" ca="1" si="186"/>
        <v>80.901442307692307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IFERROR(__xludf.DUMMYFUNCTION("IMPORTRANGE(""https://docs.google.com/spreadsheets/d/1QqKyyYR6Q21VydFLVH3TRQUabQu_ym0Zz7PgGX0-kHA/edit?usp=sharing"",""แผน!EY58"")"),66560)</f>
        <v>66560</v>
      </c>
      <c r="M424" s="45">
        <f ca="1">L424</f>
        <v>66560</v>
      </c>
      <c r="N424" s="45">
        <f>N425+N426+N427+N428</f>
        <v>53848</v>
      </c>
      <c r="O424" s="45">
        <f t="shared" ca="1" si="185"/>
        <v>80.901442307692307</v>
      </c>
      <c r="P424" s="45">
        <f t="shared" ca="1" si="186"/>
        <v>80.901442307692307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36300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17548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IFERROR(__xludf.DUMMYFUNCTION("IMPORTRANGE(""https://docs.google.com/spreadsheets/d/1QqKyyYR6Q21VydFLVH3TRQUabQu_ym0Zz7PgGX0-kHA/edit?usp=sharing"",""แผน!FC58"")"),15)</f>
        <v>15</v>
      </c>
      <c r="J435" s="546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IFERROR(__xludf.DUMMYFUNCTION("IMPORTRANGE(""https://docs.google.com/spreadsheets/d/1QqKyyYR6Q21VydFLVH3TRQUabQu_ym0Zz7PgGX0-kHA/edit?usp=sharing"",""แผน!FD58"")"),0)</f>
        <v>0</v>
      </c>
      <c r="J437" s="54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IFERROR(__xludf.DUMMYFUNCTION("IMPORTRANGE(""https://docs.google.com/spreadsheets/d/1QqKyyYR6Q21VydFLVH3TRQUabQu_ym0Zz7PgGX0-kHA/edit?usp=sharing"",""แผน!FE58"")"),0)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IFERROR(__xludf.DUMMYFUNCTION("IMPORTRANGE(""https://docs.google.com/spreadsheets/d/1QqKyyYR6Q21VydFLVH3TRQUabQu_ym0Zz7PgGX0-kHA/edit?usp=sharing"",""แผน!FF58"")"),15)</f>
        <v>15</v>
      </c>
      <c r="J439" s="54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0</v>
      </c>
      <c r="J442" s="552">
        <f t="shared" si="195"/>
        <v>0</v>
      </c>
      <c r="K442" s="553">
        <f t="shared" ca="1" si="194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IFERROR(__xludf.DUMMYFUNCTION("IMPORTRANGE(""https://docs.google.com/spreadsheets/d/1QqKyyYR6Q21VydFLVH3TRQUabQu_ym0Zz7PgGX0-kHA/edit?usp=sharing"",""แผน!FJ58"")"),0)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IFERROR(__xludf.DUMMYFUNCTION("IMPORTRANGE(""https://docs.google.com/spreadsheets/d/1QqKyyYR6Q21VydFLVH3TRQUabQu_ym0Zz7PgGX0-kHA/edit?usp=sharing"",""แผน!FN58"")"),0)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IFERROR(__xludf.DUMMYFUNCTION("IMPORTRANGE(""https://docs.google.com/spreadsheets/d/1QqKyyYR6Q21VydFLVH3TRQUabQu_ym0Zz7PgGX0-kHA/edit?usp=sharing"",""แผน!FO58"")"),0)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IFERROR(__xludf.DUMMYFUNCTION("IMPORTRANGE(""https://docs.google.com/spreadsheets/d/1QqKyyYR6Q21VydFLVH3TRQUabQu_ym0Zz7PgGX0-kHA/edit?usp=sharing"",""แผน!FO58"")"),0)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IFERROR(__xludf.DUMMYFUNCTION("IMPORTRANGE(""https://docs.google.com/spreadsheets/d/1QqKyyYR6Q21VydFLVH3TRQUabQu_ym0Zz7PgGX0-kHA/edit?usp=sharing"",""แผน!FN58"")"),0)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IFERROR(__xludf.DUMMYFUNCTION("IMPORTRANGE(""https://docs.google.com/spreadsheets/d/1QqKyyYR6Q21VydFLVH3TRQUabQu_ym0Zz7PgGX0-kHA/edit?usp=sharing"",""แผน!FX58"")"),21)</f>
        <v>21</v>
      </c>
      <c r="J465" s="552">
        <f>J485+J489+J492</f>
        <v>21</v>
      </c>
      <c r="K465" s="553">
        <f t="shared" ref="K465:K466" ca="1" si="205">IF(I465&gt;0,J465*100/I465,0)</f>
        <v>100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IFERROR(__xludf.DUMMYFUNCTION("IMPORTRANGE(""https://docs.google.com/spreadsheets/d/1QqKyyYR6Q21VydFLVH3TRQUabQu_ym0Zz7PgGX0-kHA/edit?usp=sharing"",""แผน!FW58"")"),200)</f>
        <v>200</v>
      </c>
      <c r="J466" s="533">
        <f>J495+J498</f>
        <v>200</v>
      </c>
      <c r="K466" s="534">
        <f t="shared" ca="1" si="205"/>
        <v>100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181023</v>
      </c>
      <c r="M467" s="191">
        <f t="shared" ca="1" si="206"/>
        <v>181023</v>
      </c>
      <c r="N467" s="191">
        <f t="shared" si="206"/>
        <v>181023</v>
      </c>
      <c r="O467" s="191">
        <f t="shared" ref="O467:O472" ca="1" si="207">IF(L467&gt;0,N467*100/L467,0)</f>
        <v>100</v>
      </c>
      <c r="P467" s="191">
        <f t="shared" ref="P467:P472" ca="1" si="208">IF(M467&gt;0,N467*100/M467,0)</f>
        <v>100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181023</v>
      </c>
      <c r="M469" s="45">
        <f t="shared" ca="1" si="209"/>
        <v>181023</v>
      </c>
      <c r="N469" s="45">
        <f t="shared" si="209"/>
        <v>181023</v>
      </c>
      <c r="O469" s="45">
        <f t="shared" ca="1" si="207"/>
        <v>100</v>
      </c>
      <c r="P469" s="45">
        <f t="shared" ca="1" si="208"/>
        <v>100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181023</v>
      </c>
      <c r="M470" s="38">
        <f t="shared" ca="1" si="210"/>
        <v>181023</v>
      </c>
      <c r="N470" s="38">
        <f t="shared" si="210"/>
        <v>181023</v>
      </c>
      <c r="O470" s="38">
        <f t="shared" ca="1" si="207"/>
        <v>100</v>
      </c>
      <c r="P470" s="38">
        <f t="shared" ca="1" si="208"/>
        <v>100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IFERROR(__xludf.DUMMYFUNCTION("IMPORTRANGE(""https://docs.google.com/spreadsheets/d/1QqKyyYR6Q21VydFLVH3TRQUabQu_ym0Zz7PgGX0-kHA/edit?usp=sharing"",""แผน!FS58"")"),181023)</f>
        <v>181023</v>
      </c>
      <c r="M472" s="45">
        <f ca="1">L472</f>
        <v>181023</v>
      </c>
      <c r="N472" s="45">
        <f>N473+N474+N475+N476</f>
        <v>181023</v>
      </c>
      <c r="O472" s="45">
        <f t="shared" ca="1" si="207"/>
        <v>100</v>
      </c>
      <c r="P472" s="45">
        <f t="shared" ca="1" si="208"/>
        <v>100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32823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f>4000+124000</f>
        <v>128000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20200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IFERROR(__xludf.DUMMYFUNCTION("IMPORTRANGE(""https://docs.google.com/spreadsheets/d/1QqKyyYR6Q21VydFLVH3TRQUabQu_ym0Zz7PgGX0-kHA/edit?usp=sharing"",""แผน!FY58"")"),180)</f>
        <v>180</v>
      </c>
      <c r="J483" s="181">
        <v>180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18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IFERROR(__xludf.DUMMYFUNCTION("IMPORTRANGE(""https://docs.google.com/spreadsheets/d/1QqKyyYR6Q21VydFLVH3TRQUabQu_ym0Zz7PgGX0-kHA/edit?usp=sharing"",""แผน!FZ58"")"),18)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IFERROR(__xludf.DUMMYFUNCTION("IMPORTRANGE(""https://docs.google.com/spreadsheets/d/1QqKyyYR6Q21VydFLVH3TRQUabQu_ym0Zz7PgGX0-kHA/edit?usp=sharing"",""แผน!GA58"")"),20)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20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IFERROR(__xludf.DUMMYFUNCTION("IMPORTRANGE(""https://docs.google.com/spreadsheets/d/1QqKyyYR6Q21VydFLVH3TRQUabQu_ym0Zz7PgGX0-kHA/edit?usp=sharing"",""แผน!GB58"")"),2)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IFERROR(__xludf.DUMMYFUNCTION("IMPORTRANGE(""https://docs.google.com/spreadsheets/d/1QqKyyYR6Q21VydFLVH3TRQUabQu_ym0Zz7PgGX0-kHA/edit?usp=sharing"",""แผน!FY58"")"),180)</f>
        <v>180</v>
      </c>
      <c r="J495" s="181">
        <v>180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180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IFERROR(__xludf.DUMMYFUNCTION("IMPORTRANGE(""https://docs.google.com/spreadsheets/d/1QqKyyYR6Q21VydFLVH3TRQUabQu_ym0Zz7PgGX0-kHA/edit?usp=sharing"",""แผน!GA58"")"),20)</f>
        <v>20</v>
      </c>
      <c r="J498" s="181">
        <v>20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20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265400</v>
      </c>
      <c r="M544" s="154">
        <f t="shared" ca="1" si="236"/>
        <v>225400</v>
      </c>
      <c r="N544" s="154">
        <f t="shared" si="236"/>
        <v>125648</v>
      </c>
      <c r="O544" s="154">
        <f t="shared" ref="O544:O549" ca="1" si="237">IF(L544&gt;0,N544*100/L544,0)</f>
        <v>47.342878673700078</v>
      </c>
      <c r="P544" s="154">
        <f t="shared" ref="P544:P549" ca="1" si="238">IF(M544&gt;0,N544*100/M544,0)</f>
        <v>55.744454303460515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265400</v>
      </c>
      <c r="M546" s="45">
        <f t="shared" ca="1" si="240"/>
        <v>225400</v>
      </c>
      <c r="N546" s="45">
        <f t="shared" si="240"/>
        <v>125648</v>
      </c>
      <c r="O546" s="45">
        <f t="shared" ca="1" si="237"/>
        <v>47.342878673700078</v>
      </c>
      <c r="P546" s="45">
        <f t="shared" ca="1" si="238"/>
        <v>55.744454303460515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265400</v>
      </c>
      <c r="M547" s="38">
        <f t="shared" ca="1" si="241"/>
        <v>225400</v>
      </c>
      <c r="N547" s="38">
        <f t="shared" si="241"/>
        <v>125648</v>
      </c>
      <c r="O547" s="38">
        <f t="shared" ca="1" si="237"/>
        <v>47.342878673700078</v>
      </c>
      <c r="P547" s="38">
        <f t="shared" ca="1" si="238"/>
        <v>55.744454303460515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IFERROR(__xludf.DUMMYFUNCTION("IMPORTRANGE(""https://docs.google.com/spreadsheets/d/1QqKyyYR6Q21VydFLVH3TRQUabQu_ym0Zz7PgGX0-kHA/edit?usp=sharing"",""แผน!HB58"")"),265400)</f>
        <v>265400</v>
      </c>
      <c r="M549" s="45">
        <f ca="1">L549-40000</f>
        <v>225400</v>
      </c>
      <c r="N549" s="45">
        <f>N550+N551+N552+N553+N554</f>
        <v>125648</v>
      </c>
      <c r="O549" s="45">
        <f t="shared" ca="1" si="237"/>
        <v>47.342878673700078</v>
      </c>
      <c r="P549" s="45">
        <f t="shared" ca="1" si="238"/>
        <v>55.744454303460515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104000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f>3570+5960+638+980+10500</f>
        <v>21648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IFERROR(__xludf.DUMMYFUNCTION("IMPORTRANGE(""https://docs.google.com/spreadsheets/d/1QqKyyYR6Q21VydFLVH3TRQUabQu_ym0Zz7PgGX0-kHA/edit?usp=sharing"",""แผน!HH58"")"),0)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IFERROR(__xludf.DUMMYFUNCTION("IMPORTRANGE(""https://docs.google.com/spreadsheets/d/1QqKyyYR6Q21VydFLVH3TRQUabQu_ym0Zz7PgGX0-kHA/edit?usp=sharing"",""แผน!HG58"")"),0)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IFERROR(__xludf.DUMMYFUNCTION("IMPORTRANGE(""https://docs.google.com/spreadsheets/d/1QqKyyYR6Q21VydFLVH3TRQUabQu_ym0Zz7PgGX0-kHA/edit?usp=sharing"",""แผน!HH58"")"),0)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IFERROR(__xludf.DUMMYFUNCTION("IMPORTRANGE(""https://docs.google.com/spreadsheets/d/1QqKyyYR6Q21VydFLVH3TRQUabQu_ym0Zz7PgGX0-kHA/edit?usp=sharing"",""แผน!HG58"")"),0)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IFERROR(__xludf.DUMMYFUNCTION("IMPORTRANGE(""https://docs.google.com/spreadsheets/d/1QqKyyYR6Q21VydFLVH3TRQUabQu_ym0Zz7PgGX0-kHA/edit?usp=sharing"",""แผน!HH58"")"),0)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IFERROR(__xludf.DUMMYFUNCTION("IMPORTRANGE(""https://docs.google.com/spreadsheets/d/1QqKyyYR6Q21VydFLVH3TRQUabQu_ym0Zz7PgGX0-kHA/edit?usp=sharing"",""แผน!HG58"")"),0)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3209.04</v>
      </c>
      <c r="J592" s="627">
        <f t="shared" si="253"/>
        <v>1122</v>
      </c>
      <c r="K592" s="628">
        <f t="shared" ref="K592:K594" ca="1" si="254">IF(I592&gt;0,J592*100/I592,0)</f>
        <v>34.963727469897542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IFERROR(__xludf.DUMMYFUNCTION("IMPORTRANGE(""https://docs.google.com/spreadsheets/d/1QqKyyYR6Q21VydFLVH3TRQUabQu_ym0Zz7PgGX0-kHA/edit?usp=sharing"",""แผน!HJ58"")"),3209.04)</f>
        <v>3209.04</v>
      </c>
      <c r="J593" s="189">
        <f t="shared" ref="J593:J594" si="255">J595+J603+J609</f>
        <v>1122</v>
      </c>
      <c r="K593" s="390">
        <f t="shared" ca="1" si="254"/>
        <v>34.963727469897542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IFERROR(__xludf.DUMMYFUNCTION("IMPORTRANGE(""https://docs.google.com/spreadsheets/d/1QqKyyYR6Q21VydFLVH3TRQUabQu_ym0Zz7PgGX0-kHA/edit?usp=sharing"",""แผน!HI58"")"),178)</f>
        <v>178</v>
      </c>
      <c r="J594" s="189">
        <f t="shared" si="255"/>
        <v>69</v>
      </c>
      <c r="K594" s="390">
        <f t="shared" ca="1" si="254"/>
        <v>38.764044943820224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880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51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866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50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14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1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178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14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151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8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27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6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64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4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IFERROR(__xludf.DUMMYFUNCTION("IMPORTRANGE(""https://docs.google.com/spreadsheets/d/1QqKyyYR6Q21VydFLVH3TRQUabQu_ym0Zz7PgGX0-kHA/edit?usp=sharing"",""แผน!HL58"")"),0)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IFERROR(__xludf.DUMMYFUNCTION("IMPORTRANGE(""https://docs.google.com/spreadsheets/d/1QqKyyYR6Q21VydFLVH3TRQUabQu_ym0Zz7PgGX0-kHA/edit?usp=sharing"",""แผน!HK58"")"),0)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90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332910</v>
      </c>
      <c r="M629" s="191">
        <f t="shared" ca="1" si="263"/>
        <v>332910</v>
      </c>
      <c r="N629" s="191">
        <f t="shared" si="263"/>
        <v>116946</v>
      </c>
      <c r="O629" s="191">
        <f t="shared" ref="O629:O634" ca="1" si="264">IF(L629&gt;0,N629*100/L629,0)</f>
        <v>35.128413084617463</v>
      </c>
      <c r="P629" s="191">
        <f t="shared" ref="P629:P634" ca="1" si="265">IF(M629&gt;0,N629*100/M629,0)</f>
        <v>35.128413084617463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332910</v>
      </c>
      <c r="M631" s="45">
        <f t="shared" ca="1" si="266"/>
        <v>332910</v>
      </c>
      <c r="N631" s="45">
        <f t="shared" si="266"/>
        <v>116946</v>
      </c>
      <c r="O631" s="45">
        <f t="shared" ca="1" si="264"/>
        <v>35.128413084617463</v>
      </c>
      <c r="P631" s="45">
        <f t="shared" ca="1" si="265"/>
        <v>35.128413084617463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332910</v>
      </c>
      <c r="M632" s="38">
        <f t="shared" ca="1" si="267"/>
        <v>332910</v>
      </c>
      <c r="N632" s="38">
        <f t="shared" si="267"/>
        <v>116946</v>
      </c>
      <c r="O632" s="38">
        <f t="shared" ca="1" si="264"/>
        <v>35.128413084617463</v>
      </c>
      <c r="P632" s="38">
        <f t="shared" ca="1" si="265"/>
        <v>35.128413084617463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IFERROR(__xludf.DUMMYFUNCTION("IMPORTRANGE(""https://docs.google.com/spreadsheets/d/1QqKyyYR6Q21VydFLVH3TRQUabQu_ym0Zz7PgGX0-kHA/edit?usp=sharing"",""แผน!HN58"")"),332910)</f>
        <v>332910</v>
      </c>
      <c r="M634" s="45">
        <f ca="1">L634</f>
        <v>332910</v>
      </c>
      <c r="N634" s="45">
        <f>N635+N636+N637+N638</f>
        <v>116946</v>
      </c>
      <c r="O634" s="45">
        <f t="shared" ca="1" si="264"/>
        <v>35.128413084617463</v>
      </c>
      <c r="P634" s="45">
        <f t="shared" ca="1" si="265"/>
        <v>35.128413084617463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103566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f>3900+3480+6000</f>
        <v>13380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IFERROR(__xludf.DUMMYFUNCTION("IMPORTRANGE(""https://docs.google.com/spreadsheets/d/1QqKyyYR6Q21VydFLVH3TRQUabQu_ym0Zz7PgGX0-kHA/edit?usp=sharing"",""แผน!HR58"")"),0)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IFERROR(__xludf.DUMMYFUNCTION("IMPORTRANGE(""https://docs.google.com/spreadsheets/d/1QqKyyYR6Q21VydFLVH3TRQUabQu_ym0Zz7PgGX0-kHA/edit?usp=sharing"",""แผน!HR58"")"),0)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IFERROR(__xludf.DUMMYFUNCTION("IMPORTRANGE(""https://docs.google.com/spreadsheets/d/1XWAQStnk-4SwqDmLtmXYiTMKHgktTP8We1SCoS47DrQ/edit?usp=sharing"",""จัดที่ดิน!AS58"")"),0)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IFERROR(__xludf.DUMMYFUNCTION("IMPORTRANGE(""https://docs.google.com/spreadsheets/d/1XWAQStnk-4SwqDmLtmXYiTMKHgktTP8We1SCoS47DrQ/edit?usp=sharing"",""จัดที่ดิน!AT58"")"),0)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IFERROR(__xludf.DUMMYFUNCTION("IMPORTRANGE(""https://docs.google.com/spreadsheets/d/1QqKyyYR6Q21VydFLVH3TRQUabQu_ym0Zz7PgGX0-kHA/edit?usp=sharing"",""แผน!HS58"")"),90)</f>
        <v>90</v>
      </c>
      <c r="J647" s="37">
        <f ca="1">IFERROR(__xludf.DUMMYFUNCTION("IMPORTRANGE(""https://docs.google.com/spreadsheets/d/1XWAQStnk-4SwqDmLtmXYiTMKHgktTP8We1SCoS47DrQ/edit?usp=sharing"",""จัดที่ดิน!AU58"")"),60)</f>
        <v>60</v>
      </c>
      <c r="K647" s="162">
        <f t="shared" ca="1" si="271"/>
        <v>66.666666666666671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IFERROR(__xludf.DUMMYFUNCTION("IMPORTRANGE(""https://docs.google.com/spreadsheets/d/1XWAQStnk-4SwqDmLtmXYiTMKHgktTP8We1SCoS47DrQ/edit?usp=sharing"",""จัดที่ดิน!AV58"")"),24.39)</f>
        <v>24.39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IFERROR(__xludf.DUMMYFUNCTION("IMPORTRANGE(""https://docs.google.com/spreadsheets/d/1QqKyyYR6Q21VydFLVH3TRQUabQu_ym0Zz7PgGX0-kHA/edit?usp=sharing"",""แผน!HS58"")"),90)</f>
        <v>90</v>
      </c>
      <c r="J649" s="37">
        <f ca="1">IFERROR(__xludf.DUMMYFUNCTION("IMPORTRANGE(""https://docs.google.com/spreadsheets/d/1XWAQStnk-4SwqDmLtmXYiTMKHgktTP8We1SCoS47DrQ/edit?usp=sharing"",""จัดที่ดิน!AW58"")"),0)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IFERROR(__xludf.DUMMYFUNCTION("IMPORTRANGE(""https://docs.google.com/spreadsheets/d/1XWAQStnk-4SwqDmLtmXYiTMKHgktTP8We1SCoS47DrQ/edit?usp=sharing"",""จัดที่ดิน!AX58"")"),0)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IFERROR(__xludf.DUMMYFUNCTION("IMPORTRANGE(""https://docs.google.com/spreadsheets/d/1QqKyyYR6Q21VydFLVH3TRQUabQu_ym0Zz7PgGX0-kHA/edit?usp=sharing"",""แผน!HS58"")"),90)</f>
        <v>90</v>
      </c>
      <c r="J651" s="37">
        <f ca="1">IFERROR(__xludf.DUMMYFUNCTION("IMPORTRANGE(""https://docs.google.com/spreadsheets/d/1XWAQStnk-4SwqDmLtmXYiTMKHgktTP8We1SCoS47DrQ/edit?usp=sharing"",""จัดที่ดิน!AY58"")"),0)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IFERROR(__xludf.DUMMYFUNCTION("IMPORTRANGE(""https://docs.google.com/spreadsheets/d/1XWAQStnk-4SwqDmLtmXYiTMKHgktTP8We1SCoS47DrQ/edit?usp=sharing"",""จัดที่ดิน!AZ58"")"),0)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 hidden="1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IFERROR(__xludf.DUMMYFUNCTION("IMPORTRANGE(""https://docs.google.com/spreadsheets/d/1QqKyyYR6Q21VydFLVH3TRQUabQu_ym0Zz7PgGX0-kHA/edit?usp=sharing"",""แผน!HV58"")"),0)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IFERROR(__xludf.DUMMYFUNCTION("IMPORTRANGE(""https://docs.google.com/spreadsheets/d/1QqKyyYR6Q21VydFLVH3TRQUabQu_ym0Zz7PgGX0-kHA/edit?usp=sharing"",""แผน!IA58"")"),0)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IFERROR(__xludf.DUMMYFUNCTION("IMPORTRANGE(""https://docs.google.com/spreadsheets/d/1QqKyyYR6Q21VydFLVH3TRQUabQu_ym0Zz7PgGX0-kHA/edit?usp=sharing"",""แผน!HZ58"")"),0)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IFERROR(__xludf.DUMMYFUNCTION("IMPORTRANGE(""https://docs.google.com/spreadsheets/d/1QqKyyYR6Q21VydFLVH3TRQUabQu_ym0Zz7PgGX0-kHA/edit?usp=sharing"",""แผน!HZ58"")"),0)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 hidden="1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 hidden="1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 hidden="1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IFERROR(__xludf.DUMMYFUNCTION("IMPORTRANGE(""https://docs.google.com/spreadsheets/d/1QqKyyYR6Q21VydFLVH3TRQUabQu_ym0Zz7PgGX0-kHA/edit?usp=sharing"",""แผน!HW58"")"),0)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 hidden="1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 hidden="1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 hidden="1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 hidden="1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 hidden="1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 hidden="1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 hidden="1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IFERROR(__xludf.DUMMYFUNCTION("IMPORTRANGE(""https://docs.google.com/spreadsheets/d/1QqKyyYR6Q21VydFLVH3TRQUabQu_ym0Zz7PgGX0-kHA/edit?usp=sharing"",""แผน!IC58"")"),0)</f>
        <v>0</v>
      </c>
      <c r="J699" s="37">
        <f ca="1">IFERROR(__xludf.DUMMYFUNCTION("IMPORTRANGE(""https://docs.google.com/spreadsheets/d/1XWAQStnk-4SwqDmLtmXYiTMKHgktTP8We1SCoS47DrQ/edit?usp=sharing"",""จัดที่ดิน!BB58"")"),0)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 hidden="1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IFERROR(__xludf.DUMMYFUNCTION("IMPORTRANGE(""https://docs.google.com/spreadsheets/d/1QqKyyYR6Q21VydFLVH3TRQUabQu_ym0Zz7PgGX0-kHA/edit?usp=sharing"",""แผน!ID58"")"),0)</f>
        <v>0</v>
      </c>
      <c r="J700" s="37">
        <f ca="1">IFERROR(__xludf.DUMMYFUNCTION("IMPORTRANGE(""https://docs.google.com/spreadsheets/d/1XWAQStnk-4SwqDmLtmXYiTMKHgktTP8We1SCoS47DrQ/edit?usp=sharing"",""จัดที่ดิน!BD58"")"),0)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 hidden="1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IFERROR(__xludf.DUMMYFUNCTION("IMPORTRANGE(""https://docs.google.com/spreadsheets/d/1QqKyyYR6Q21VydFLVH3TRQUabQu_ym0Zz7PgGX0-kHA/edit?usp=sharing"",""แผน!IE58"")"),0)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 hidden="1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 hidden="1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 hidden="1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IFERROR(__xludf.DUMMYFUNCTION("IMPORTRANGE(""https://docs.google.com/spreadsheets/d/1QqKyyYR6Q21VydFLVH3TRQUabQu_ym0Zz7PgGX0-kHA/edit?usp=sharing"",""แผน!IF58"")"),0)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 hidden="1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 hidden="1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 hidden="1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IFERROR(__xludf.DUMMYFUNCTION("IMPORTRANGE(""https://docs.google.com/spreadsheets/d/1QqKyyYR6Q21VydFLVH3TRQUabQu_ym0Zz7PgGX0-kHA/edit?usp=sharing"",""แผน!IG58"")"),0)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 hidden="1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IFERROR(__xludf.DUMMYFUNCTION("IMPORTRANGE(""https://docs.google.com/spreadsheets/d/1QqKyyYR6Q21VydFLVH3TRQUabQu_ym0Zz7PgGX0-kHA/edit?usp=sharing"",""แผน!IH58"")"),0)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 hidden="1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 hidden="1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 hidden="1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 hidden="1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 hidden="1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 hidden="1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 hidden="1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 hidden="1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 hidden="1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0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 hidden="1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IFERROR(__xludf.DUMMYFUNCTION("IMPORTRANGE(""https://docs.google.com/spreadsheets/d/1XWAQStnk-4SwqDmLtmXYiTMKHgktTP8We1SCoS47DrQ/edit?usp=sharing"",""จัดที่ดิน!BF58"")"),0)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 hidden="1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IFERROR(__xludf.DUMMYFUNCTION("IMPORTRANGE(""https://docs.google.com/spreadsheets/d/1XWAQStnk-4SwqDmLtmXYiTMKHgktTP8We1SCoS47DrQ/edit?usp=sharing"",""จัดที่ดิน!BG58"")"),0)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 hidden="1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IFERROR(__xludf.DUMMYFUNCTION("IMPORTRANGE(""https://docs.google.com/spreadsheets/d/1QqKyyYR6Q21VydFLVH3TRQUabQu_ym0Zz7PgGX0-kHA/edit?usp=sharing"",""แผน!II58"")"),0)</f>
        <v>0</v>
      </c>
      <c r="J720" s="37">
        <f ca="1">IFERROR(__xludf.DUMMYFUNCTION("IMPORTRANGE(""https://docs.google.com/spreadsheets/d/1XWAQStnk-4SwqDmLtmXYiTMKHgktTP8We1SCoS47DrQ/edit?usp=sharing"",""จัดที่ดิน!BH58"")"),0)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 hidden="1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IFERROR(__xludf.DUMMYFUNCTION("IMPORTRANGE(""https://docs.google.com/spreadsheets/d/1QqKyyYR6Q21VydFLVH3TRQUabQu_ym0Zz7PgGX0-kHA/edit?usp=sharing"",""แผน!IJ58"")"),0)</f>
        <v>0</v>
      </c>
      <c r="J721" s="190">
        <f ca="1">J723+J726</f>
        <v>0</v>
      </c>
      <c r="K721" s="191">
        <f t="shared" ca="1" si="291"/>
        <v>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 hidden="1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IFERROR(__xludf.DUMMYFUNCTION("IMPORTRANGE(""https://docs.google.com/spreadsheets/d/1QqKyyYR6Q21VydFLVH3TRQUabQu_ym0Zz7PgGX0-kHA/edit?usp=sharing"",""แผน!IK58"")"),0)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 hidden="1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IFERROR(__xludf.DUMMYFUNCTION("IMPORTRANGE(""https://docs.google.com/spreadsheets/d/1QqKyyYR6Q21VydFLVH3TRQUabQu_ym0Zz7PgGX0-kHA/edit?usp=sharing"",""แผน!IL58"")"),0)</f>
        <v>0</v>
      </c>
      <c r="J723" s="37">
        <f ca="1">IFERROR(__xludf.DUMMYFUNCTION("IMPORTRANGE(""https://docs.google.com/spreadsheets/d/1XWAQStnk-4SwqDmLtmXYiTMKHgktTP8We1SCoS47DrQ/edit?usp=sharing"",""จัดที่ดิน!BM58"")"),0)</f>
        <v>0</v>
      </c>
      <c r="K723" s="38">
        <f t="shared" ca="1" si="291"/>
        <v>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 hidden="1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IFERROR(__xludf.DUMMYFUNCTION("IMPORTRANGE(""https://docs.google.com/spreadsheets/d/1XWAQStnk-4SwqDmLtmXYiTMKHgktTP8We1SCoS47DrQ/edit?usp=sharing"",""จัดที่ดิน!BN58"")"),0)</f>
        <v>0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 hidden="1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IFERROR(__xludf.DUMMYFUNCTION("IMPORTRANGE(""https://docs.google.com/spreadsheets/d/1QqKyyYR6Q21VydFLVH3TRQUabQu_ym0Zz7PgGX0-kHA/edit?usp=sharing"",""แผน!IM58"")"),0)</f>
        <v>0</v>
      </c>
      <c r="J725" s="37">
        <f ca="1">IFERROR(__xludf.DUMMYFUNCTION("IMPORTRANGE(""https://docs.google.com/spreadsheets/d/1XWAQStnk-4SwqDmLtmXYiTMKHgktTP8We1SCoS47DrQ/edit?usp=sharing"",""จัดที่ดิน!BO58"")"),0)</f>
        <v>0</v>
      </c>
      <c r="K725" s="38">
        <f t="shared" ref="K725:K726" ca="1" si="292">IF(I725&gt;0,J725*100/I725,0)</f>
        <v>0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 hidden="1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IFERROR(__xludf.DUMMYFUNCTION("IMPORTRANGE(""https://docs.google.com/spreadsheets/d/1QqKyyYR6Q21VydFLVH3TRQUabQu_ym0Zz7PgGX0-kHA/edit?usp=sharing"",""แผน!IN58"")"),0)</f>
        <v>0</v>
      </c>
      <c r="J726" s="37">
        <f ca="1">IFERROR(__xludf.DUMMYFUNCTION("IMPORTRANGE(""https://docs.google.com/spreadsheets/d/1XWAQStnk-4SwqDmLtmXYiTMKHgktTP8We1SCoS47DrQ/edit?usp=sharing"",""จัดที่ดิน!BR58"")"),0)</f>
        <v>0</v>
      </c>
      <c r="K726" s="38">
        <f t="shared" ca="1" si="292"/>
        <v>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 hidden="1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IFERROR(__xludf.DUMMYFUNCTION("IMPORTRANGE(""https://docs.google.com/spreadsheets/d/1XWAQStnk-4SwqDmLtmXYiTMKHgktTP8We1SCoS47DrQ/edit?usp=sharing"",""จัดที่ดิน!BS58"")"),0)</f>
        <v>0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 hidden="1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IFERROR(__xludf.DUMMYFUNCTION("IMPORTRANGE(""https://docs.google.com/spreadsheets/d/1QqKyyYR6Q21VydFLVH3TRQUabQu_ym0Zz7PgGX0-kHA/edit?usp=sharing"",""แผน!IO58"")"),0)</f>
        <v>0</v>
      </c>
      <c r="J728" s="37">
        <f ca="1">IFERROR(__xludf.DUMMYFUNCTION("IMPORTRANGE(""https://docs.google.com/spreadsheets/d/1XWAQStnk-4SwqDmLtmXYiTMKHgktTP8We1SCoS47DrQ/edit?usp=sharing"",""จัดที่ดิน!BT58"")"),0)</f>
        <v>0</v>
      </c>
      <c r="K728" s="38">
        <f t="shared" ref="K728:K729" ca="1" si="293">IF(I728&gt;0,J728*100/I728,0)</f>
        <v>0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 hidden="1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IFERROR(__xludf.DUMMYFUNCTION("IMPORTRANGE(""https://docs.google.com/spreadsheets/d/1QqKyyYR6Q21VydFLVH3TRQUabQu_ym0Zz7PgGX0-kHA/edit?usp=sharing"",""แผน!IP58"")"),0)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 hidden="1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0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 hidden="1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 hidden="1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 hidden="1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 hidden="1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 hidden="1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IFERROR(__xludf.DUMMYFUNCTION("IMPORTRANGE(""https://docs.google.com/spreadsheets/d/1QqKyyYR6Q21VydFLVH3TRQUabQu_ym0Zz7PgGX0-kHA/edit?usp=sharing"",""แผน!JN58"")"),0)</f>
        <v>0</v>
      </c>
      <c r="J800" s="161">
        <f ca="1">IFERROR(__xludf.DUMMYFUNCTION("IMPORTRANGE(""https://docs.google.com/spreadsheets/d/1MaWodYyGHDf7siQLGxnXhG4mBNTNIuy296niS2xXulU/edit?usp=sharing"",""RTK!H58"")"),0)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IFERROR(__xludf.DUMMYFUNCTION("IMPORTRANGE(""https://docs.google.com/spreadsheets/d/1MaWodYyGHDf7siQLGxnXhG4mBNTNIuy296niS2xXulU/edit?usp=sharing"",""RTK!I58"")"),0)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IFERROR(__xludf.DUMMYFUNCTION("IMPORTRANGE(""https://docs.google.com/spreadsheets/d/19vJNZY_5yjcGF2XGBMNZRCAIB0Kwfpjp8YEOfu-bneM/edit?usp=sharing"",""งานกองทุน!D58"")"),2329000)</f>
        <v>2329000</v>
      </c>
      <c r="J821" s="37">
        <f ca="1">IFERROR(__xludf.DUMMYFUNCTION("IMPORTRANGE(""https://docs.google.com/spreadsheets/d/19vJNZY_5yjcGF2XGBMNZRCAIB0Kwfpjp8YEOfu-bneM/edit?usp=sharing"",""งานกองทุน!F58"")"),2279000)</f>
        <v>2279000</v>
      </c>
      <c r="K821" s="38">
        <f t="shared" ref="K821:K828" ca="1" si="335">IF(I821&gt;0,J821*100/I821,0)</f>
        <v>97.853155860884499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IFERROR(__xludf.DUMMYFUNCTION("IMPORTRANGE(""https://docs.google.com/spreadsheets/d/19vJNZY_5yjcGF2XGBMNZRCAIB0Kwfpjp8YEOfu-bneM/edit?usp=sharing"",""งานกองทุน!C58"")"),110)</f>
        <v>110</v>
      </c>
      <c r="J822" s="37">
        <f ca="1">IFERROR(__xludf.DUMMYFUNCTION("IMPORTRANGE(""https://docs.google.com/spreadsheets/d/19vJNZY_5yjcGF2XGBMNZRCAIB0Kwfpjp8YEOfu-bneM/edit?usp=sharing"",""งานกองทุน!E58"")"),108)</f>
        <v>108</v>
      </c>
      <c r="K822" s="38">
        <f t="shared" ca="1" si="335"/>
        <v>98.181818181818187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37">
        <f ca="1">IFERROR(__xludf.DUMMYFUNCTION("IMPORTRANGE(""https://docs.google.com/spreadsheets/d/19vJNZY_5yjcGF2XGBMNZRCAIB0Kwfpjp8YEOfu-bneM/edit?usp=sharing"",""งานกองทุน!K58"")"),280747.06)</f>
        <v>280747.06</v>
      </c>
      <c r="K823" s="38">
        <f t="shared" ca="1" si="335"/>
        <v>29.065389933656093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IFERROR(__xludf.DUMMYFUNCTION("IMPORTRANGE(""https://docs.google.com/spreadsheets/d/19vJNZY_5yjcGF2XGBMNZRCAIB0Kwfpjp8YEOfu-bneM/edit?usp=sharing"",""งานกองทุน!H58"")"),37)</f>
        <v>37</v>
      </c>
      <c r="J824" s="37">
        <f ca="1">IFERROR(__xludf.DUMMYFUNCTION("IMPORTRANGE(""https://docs.google.com/spreadsheets/d/19vJNZY_5yjcGF2XGBMNZRCAIB0Kwfpjp8YEOfu-bneM/edit?usp=sharing"",""งานกองทุน!J58"")"),19)</f>
        <v>19</v>
      </c>
      <c r="K824" s="38">
        <f t="shared" ca="1" si="335"/>
        <v>51.351351351351354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IFERROR(__xludf.DUMMYFUNCTION("IMPORTRANGE(""https://docs.google.com/spreadsheets/d/19vJNZY_5yjcGF2XGBMNZRCAIB0Kwfpjp8YEOfu-bneM/edit?usp=sharing"",""งานกองทุน!N58"")"),0)</f>
        <v>0</v>
      </c>
      <c r="J825" s="37">
        <f ca="1">IFERROR(__xludf.DUMMYFUNCTION("IMPORTRANGE(""https://docs.google.com/spreadsheets/d/19vJNZY_5yjcGF2XGBMNZRCAIB0Kwfpjp8YEOfu-bneM/edit?usp=sharing"",""งานกองทุน!P58"")"),0)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IFERROR(__xludf.DUMMYFUNCTION("IMPORTRANGE(""https://docs.google.com/spreadsheets/d/19vJNZY_5yjcGF2XGBMNZRCAIB0Kwfpjp8YEOfu-bneM/edit?usp=sharing"",""งานกองทุน!M58"")"),0)</f>
        <v>0</v>
      </c>
      <c r="J826" s="37">
        <f ca="1">IFERROR(__xludf.DUMMYFUNCTION("IMPORTRANGE(""https://docs.google.com/spreadsheets/d/19vJNZY_5yjcGF2XGBMNZRCAIB0Kwfpjp8YEOfu-bneM/edit?usp=sharing"",""งานกองทุน!O58"")"),0)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IFERROR(__xludf.DUMMYFUNCTION("IMPORTRANGE(""https://docs.google.com/spreadsheets/d/19vJNZY_5yjcGF2XGBMNZRCAIB0Kwfpjp8YEOfu-bneM/edit?usp=sharing"",""งานกองทุน!S58"")"),3330000)</f>
        <v>3330000</v>
      </c>
      <c r="J827" s="37">
        <f ca="1">IFERROR(__xludf.DUMMYFUNCTION("IMPORTRANGE(""https://docs.google.com/spreadsheets/d/19vJNZY_5yjcGF2XGBMNZRCAIB0Kwfpjp8YEOfu-bneM/edit?usp=sharing"",""งานกองทุน!U58"")"),3330000)</f>
        <v>3330000</v>
      </c>
      <c r="K827" s="38">
        <f t="shared" ca="1" si="335"/>
        <v>100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IFERROR(__xludf.DUMMYFUNCTION("IMPORTRANGE(""https://docs.google.com/spreadsheets/d/19vJNZY_5yjcGF2XGBMNZRCAIB0Kwfpjp8YEOfu-bneM/edit?usp=sharing"",""งานกองทุน!R58"")"),133)</f>
        <v>133</v>
      </c>
      <c r="J828" s="365">
        <f ca="1">IFERROR(__xludf.DUMMYFUNCTION("IMPORTRANGE(""https://docs.google.com/spreadsheets/d/19vJNZY_5yjcGF2XGBMNZRCAIB0Kwfpjp8YEOfu-bneM/edit?usp=sharing"",""งานกองทุน!T58"")"),124)</f>
        <v>124</v>
      </c>
      <c r="K828" s="472">
        <f t="shared" ca="1" si="335"/>
        <v>93.233082706766922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E5719-28F5-44F2-B2DD-5926C4A6E34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341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3385260</v>
      </c>
      <c r="N8" s="22">
        <f t="shared" ca="1" si="0"/>
        <v>2601635.4500000002</v>
      </c>
      <c r="O8" s="22">
        <f t="shared" ref="O8:O16" ca="1" si="1">IF(L8&gt;0,N8*100/L8,0)</f>
        <v>79.00478437660378</v>
      </c>
      <c r="P8" s="22">
        <f t="shared" ref="P8:P16" ca="1" si="2">IF(M8&gt;0,N8*100/M8,0)</f>
        <v>76.851865144774706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3385260</v>
      </c>
      <c r="N10" s="30">
        <f t="shared" ca="1" si="3"/>
        <v>2601635.4500000002</v>
      </c>
      <c r="O10" s="30">
        <f t="shared" ca="1" si="1"/>
        <v>79.00478437660378</v>
      </c>
      <c r="P10" s="30">
        <f t="shared" ca="1" si="2"/>
        <v>76.851865144774706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3119610</v>
      </c>
      <c r="M11" s="38">
        <f t="shared" ca="1" si="4"/>
        <v>3211860</v>
      </c>
      <c r="N11" s="38">
        <f t="shared" ca="1" si="4"/>
        <v>2428235.4500000002</v>
      </c>
      <c r="O11" s="38">
        <f t="shared" ca="1" si="1"/>
        <v>77.837789018499123</v>
      </c>
      <c r="P11" s="38">
        <f t="shared" ca="1" si="2"/>
        <v>75.602157316944087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3119610</v>
      </c>
      <c r="M13" s="45">
        <f t="shared" ca="1" si="5"/>
        <v>3211860</v>
      </c>
      <c r="N13" s="45">
        <f t="shared" ca="1" si="5"/>
        <v>2428235.4500000002</v>
      </c>
      <c r="O13" s="45">
        <f t="shared" ca="1" si="1"/>
        <v>77.837789018499123</v>
      </c>
      <c r="P13" s="45">
        <f t="shared" ca="1" si="2"/>
        <v>75.602157316944087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173400</v>
      </c>
      <c r="M14" s="38">
        <f t="shared" ca="1" si="6"/>
        <v>173400</v>
      </c>
      <c r="N14" s="38">
        <f t="shared" ca="1" si="6"/>
        <v>173400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2861750</v>
      </c>
      <c r="N18" s="22">
        <f t="shared" ca="1" si="8"/>
        <v>2239326.4500000002</v>
      </c>
      <c r="O18" s="22">
        <f t="shared" ref="O18:O26" ca="1" si="9">IF(L18&gt;0,N18*100/L18,0)</f>
        <v>80.856705181440702</v>
      </c>
      <c r="P18" s="22">
        <f t="shared" ref="P18:P26" ca="1" si="10">IF(M18&gt;0,N18*100/M18,0)</f>
        <v>78.250247226347525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2861750</v>
      </c>
      <c r="N20" s="30">
        <f t="shared" ca="1" si="11"/>
        <v>2239326.4500000002</v>
      </c>
      <c r="O20" s="30">
        <f t="shared" ca="1" si="9"/>
        <v>80.856705181440702</v>
      </c>
      <c r="P20" s="30">
        <f t="shared" ca="1" si="10"/>
        <v>78.250247226347525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2596100</v>
      </c>
      <c r="M21" s="38">
        <f t="shared" ca="1" si="12"/>
        <v>2688350</v>
      </c>
      <c r="N21" s="38">
        <f t="shared" ca="1" si="12"/>
        <v>2065926.45</v>
      </c>
      <c r="O21" s="38">
        <f t="shared" ca="1" si="9"/>
        <v>79.578076730480333</v>
      </c>
      <c r="P21" s="38">
        <f t="shared" ca="1" si="10"/>
        <v>76.847376643666195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2596100</v>
      </c>
      <c r="M23" s="45">
        <f t="shared" ca="1" si="13"/>
        <v>2688350</v>
      </c>
      <c r="N23" s="45">
        <f t="shared" ca="1" si="13"/>
        <v>2065926.45</v>
      </c>
      <c r="O23" s="45">
        <f t="shared" ca="1" si="9"/>
        <v>79.578076730480333</v>
      </c>
      <c r="P23" s="45">
        <f t="shared" ca="1" si="10"/>
        <v>76.847376643666195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173400</v>
      </c>
      <c r="M24" s="38">
        <f t="shared" ca="1" si="14"/>
        <v>173400</v>
      </c>
      <c r="N24" s="38">
        <f t="shared" ca="1" si="14"/>
        <v>173400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362309</v>
      </c>
      <c r="O28" s="22">
        <f t="shared" ref="O28:O37" ca="1" si="17">IF(L28&gt;0,N28*100/L28,0)</f>
        <v>69.207656014211764</v>
      </c>
      <c r="P28" s="22">
        <f t="shared" ref="P28:P37" ca="1" si="18">IF(M28&gt;0,N28*100/M28,0)</f>
        <v>69.207656014211764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362309</v>
      </c>
      <c r="O30" s="30">
        <f t="shared" ca="1" si="17"/>
        <v>69.207656014211764</v>
      </c>
      <c r="P30" s="30">
        <f t="shared" ca="1" si="18"/>
        <v>69.207656014211764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523510</v>
      </c>
      <c r="M31" s="38">
        <f t="shared" ca="1" si="20"/>
        <v>523510</v>
      </c>
      <c r="N31" s="38">
        <f t="shared" si="20"/>
        <v>362309</v>
      </c>
      <c r="O31" s="38">
        <f t="shared" ca="1" si="17"/>
        <v>69.207656014211764</v>
      </c>
      <c r="P31" s="38">
        <f t="shared" ca="1" si="18"/>
        <v>69.207656014211764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523510</v>
      </c>
      <c r="M33" s="45">
        <f t="shared" ca="1" si="21"/>
        <v>523510</v>
      </c>
      <c r="N33" s="45">
        <f t="shared" si="21"/>
        <v>362309</v>
      </c>
      <c r="O33" s="45">
        <f t="shared" ca="1" si="17"/>
        <v>69.207656014211764</v>
      </c>
      <c r="P33" s="45">
        <f t="shared" ca="1" si="18"/>
        <v>69.207656014211764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2861750</v>
      </c>
      <c r="N37" s="59">
        <f t="shared" ca="1" si="24"/>
        <v>2239326.4500000002</v>
      </c>
      <c r="O37" s="59">
        <f t="shared" ca="1" si="17"/>
        <v>80.856705181440702</v>
      </c>
      <c r="P37" s="59">
        <f t="shared" ca="1" si="18"/>
        <v>78.250247226347525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335090</v>
      </c>
      <c r="N41" s="85">
        <f t="shared" ca="1" si="25"/>
        <v>263231</v>
      </c>
      <c r="O41" s="85">
        <f t="shared" ref="O41:O49" ca="1" si="26">IF(L41&gt;0,N41*100/L41,0)</f>
        <v>83.791500875378006</v>
      </c>
      <c r="P41" s="85">
        <f t="shared" ref="P41:P49" ca="1" si="27">IF(M41&gt;0,N41*100/M41,0)</f>
        <v>78.555313497866251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335090</v>
      </c>
      <c r="N43" s="92">
        <f t="shared" ca="1" si="28"/>
        <v>263231</v>
      </c>
      <c r="O43" s="92">
        <f t="shared" ca="1" si="26"/>
        <v>83.791500875378006</v>
      </c>
      <c r="P43" s="92">
        <f t="shared" ca="1" si="27"/>
        <v>78.555313497866251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314150</v>
      </c>
      <c r="M44" s="38">
        <f t="shared" ca="1" si="29"/>
        <v>335090</v>
      </c>
      <c r="N44" s="38">
        <f t="shared" ca="1" si="29"/>
        <v>263231</v>
      </c>
      <c r="O44" s="38">
        <f t="shared" ca="1" si="26"/>
        <v>83.791500875378006</v>
      </c>
      <c r="P44" s="38">
        <f t="shared" ca="1" si="27"/>
        <v>78.555313497866251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IFERROR(__xludf.DUMMYFUNCTION("IMPORTRANGE(""https://docs.google.com/spreadsheets/d/1MeEWN-I1oV_STSDYn1IFDPWt_1FKiwhDph83XaGc0o0/edit?usp=sharing"",""งบพรบ!M59"")"),314150)</f>
        <v>314150</v>
      </c>
      <c r="M46" s="45">
        <f ca="1">IFERROR(__xludf.DUMMYFUNCTION("IMPORTRANGE(""https://docs.google.com/spreadsheets/d/1MeEWN-I1oV_STSDYn1IFDPWt_1FKiwhDph83XaGc0o0/edit?usp=sharing"",""งบพรบ!R59"")"),335090)</f>
        <v>335090</v>
      </c>
      <c r="N46" s="45">
        <f ca="1">IFERROR(__xludf.DUMMYFUNCTION("IMPORTRANGE(""https://docs.google.com/spreadsheets/d/1MeEWN-I1oV_STSDYn1IFDPWt_1FKiwhDph83XaGc0o0/edit?usp=sharing"",""งบพรบ!T59"")"),263231)</f>
        <v>263231</v>
      </c>
      <c r="O46" s="45">
        <f t="shared" ca="1" si="26"/>
        <v>83.791500875378006</v>
      </c>
      <c r="P46" s="45">
        <f t="shared" ca="1" si="27"/>
        <v>78.555313497866251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647000</v>
      </c>
      <c r="M53" s="115">
        <f t="shared" ca="1" si="31"/>
        <v>647000</v>
      </c>
      <c r="N53" s="115">
        <f t="shared" ca="1" si="31"/>
        <v>512230.5</v>
      </c>
      <c r="O53" s="115">
        <f t="shared" ref="O53:O61" ca="1" si="32">IF(L53&gt;0,N53*100/L53,0)</f>
        <v>79.17009273570325</v>
      </c>
      <c r="P53" s="115">
        <f t="shared" ref="P53:P61" ca="1" si="33">IF(M53&gt;0,N53*100/M53,0)</f>
        <v>79.17009273570325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647000</v>
      </c>
      <c r="M55" s="122">
        <f t="shared" ca="1" si="34"/>
        <v>647000</v>
      </c>
      <c r="N55" s="122">
        <f t="shared" ca="1" si="34"/>
        <v>512230.5</v>
      </c>
      <c r="O55" s="122">
        <f t="shared" ca="1" si="32"/>
        <v>79.17009273570325</v>
      </c>
      <c r="P55" s="122">
        <f t="shared" ca="1" si="33"/>
        <v>79.17009273570325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647000</v>
      </c>
      <c r="M56" s="38">
        <f t="shared" ca="1" si="35"/>
        <v>647000</v>
      </c>
      <c r="N56" s="38">
        <f t="shared" ca="1" si="35"/>
        <v>512230.5</v>
      </c>
      <c r="O56" s="38">
        <f t="shared" ca="1" si="32"/>
        <v>79.17009273570325</v>
      </c>
      <c r="P56" s="38">
        <f t="shared" ca="1" si="33"/>
        <v>79.17009273570325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IFERROR(__xludf.DUMMYFUNCTION("IMPORTRANGE(""https://docs.google.com/spreadsheets/d/1MeEWN-I1oV_STSDYn1IFDPWt_1FKiwhDph83XaGc0o0/edit?usp=sharing"",""งบพรบ!W59"")"),647000)</f>
        <v>647000</v>
      </c>
      <c r="M58" s="45">
        <f ca="1">IFERROR(__xludf.DUMMYFUNCTION("IMPORTRANGE(""https://docs.google.com/spreadsheets/d/1MeEWN-I1oV_STSDYn1IFDPWt_1FKiwhDph83XaGc0o0/edit?usp=sharing"",""งบพรบ!AB59"")"),647000)</f>
        <v>647000</v>
      </c>
      <c r="N58" s="45">
        <f ca="1">IFERROR(__xludf.DUMMYFUNCTION("IMPORTRANGE(""https://docs.google.com/spreadsheets/d/1MeEWN-I1oV_STSDYn1IFDPWt_1FKiwhDph83XaGc0o0/edit?usp=sharing"",""งบพรบ!AD59"")"),512230.5)</f>
        <v>512230.5</v>
      </c>
      <c r="O58" s="45">
        <f t="shared" ca="1" si="32"/>
        <v>79.17009273570325</v>
      </c>
      <c r="P58" s="45">
        <f t="shared" ca="1" si="33"/>
        <v>79.17009273570325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IFERROR(__xludf.DUMMYFUNCTION("IMPORTRANGE(""https://docs.google.com/spreadsheets/d/1MeEWN-I1oV_STSDYn1IFDPWt_1FKiwhDph83XaGc0o0/edit?usp=sharing"",""งบพรบ!AG59"")"),0)</f>
        <v>0</v>
      </c>
      <c r="M71" s="45">
        <f ca="1">IFERROR(__xludf.DUMMYFUNCTION("IMPORTRANGE(""https://docs.google.com/spreadsheets/d/1MeEWN-I1oV_STSDYn1IFDPWt_1FKiwhDph83XaGc0o0/edit?usp=sharing"",""งบพรบ!AL59"")"),0)</f>
        <v>0</v>
      </c>
      <c r="N71" s="45">
        <f ca="1">IFERROR(__xludf.DUMMYFUNCTION("IMPORTRANGE(""https://docs.google.com/spreadsheets/d/1MeEWN-I1oV_STSDYn1IFDPWt_1FKiwhDph83XaGc0o0/edit?usp=sharing"",""งบพรบ!AN59"")"),0)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IFERROR(__xludf.DUMMYFUNCTION("IMPORTRANGE(""https://docs.google.com/spreadsheets/d/1MeEWN-I1oV_STSDYn1IFDPWt_1FKiwhDph83XaGc0o0/edit?usp=sharing"",""งบพรบ!AJ59"")"),0)</f>
        <v>0</v>
      </c>
      <c r="M74" s="45">
        <f ca="1">IFERROR(__xludf.DUMMYFUNCTION("IMPORTRANGE(""https://docs.google.com/spreadsheets/d/1MeEWN-I1oV_STSDYn1IFDPWt_1FKiwhDph83XaGc0o0/edit?usp=sharing"",""งบพรบ!AM59"")"),0)</f>
        <v>0</v>
      </c>
      <c r="N74" s="45">
        <f ca="1">IFERROR(__xludf.DUMMYFUNCTION("IMPORTRANGE(""https://docs.google.com/spreadsheets/d/1MeEWN-I1oV_STSDYn1IFDPWt_1FKiwhDph83XaGc0o0/edit?usp=sharing"",""งบพรบ!AO59"")"),0)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IFERROR(__xludf.DUMMYFUNCTION("IMPORTRANGE(""https://docs.google.com/spreadsheets/d/1QqKyyYR6Q21VydFLVH3TRQUabQu_ym0Zz7PgGX0-kHA/edit?usp=sharing"",""แผน!H59"")"),0)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IFERROR(__xludf.DUMMYFUNCTION("IMPORTRANGE(""https://docs.google.com/spreadsheets/d/1QqKyyYR6Q21VydFLVH3TRQUabQu_ym0Zz7PgGX0-kHA/edit?usp=sharing"",""แผน!I59"")"),0)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IFERROR(__xludf.DUMMYFUNCTION("IMPORTRANGE(""https://docs.google.com/spreadsheets/d/1QqKyyYR6Q21VydFLVH3TRQUabQu_ym0Zz7PgGX0-kHA/edit?usp=sharing"",""แผน!F59"")"),0)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IFERROR(__xludf.DUMMYFUNCTION("IMPORTRANGE(""https://docs.google.com/spreadsheets/d/1QqKyyYR6Q21VydFLVH3TRQUabQu_ym0Zz7PgGX0-kHA/edit?usp=sharing"",""แผน!G59"")"),0)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IFERROR(__xludf.DUMMYFUNCTION("IMPORTRANGE(""https://docs.google.com/spreadsheets/d/1QqKyyYR6Q21VydFLVH3TRQUabQu_ym0Zz7PgGX0-kHA/edit?usp=sharing"",""แผน!D59"")"),0)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IFERROR(__xludf.DUMMYFUNCTION("IMPORTRANGE(""https://docs.google.com/spreadsheets/d/1QqKyyYR6Q21VydFLVH3TRQUabQu_ym0Zz7PgGX0-kHA/edit?usp=sharing"",""แผน!E59"")"),0)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IFERROR(__xludf.DUMMYFUNCTION("IMPORTRANGE(""https://docs.google.com/spreadsheets/d/1QqKyyYR6Q21VydFLVH3TRQUabQu_ym0Zz7PgGX0-kHA/edit?usp=sharing"",""แผน!J59"")"),0)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115940</v>
      </c>
      <c r="M88" s="154">
        <f t="shared" ca="1" si="49"/>
        <v>126040</v>
      </c>
      <c r="N88" s="154">
        <f t="shared" ca="1" si="49"/>
        <v>100465</v>
      </c>
      <c r="O88" s="154">
        <f t="shared" ref="O88:O96" ca="1" si="50">IF(L88&gt;0,N88*100/L88,0)</f>
        <v>86.652578920131106</v>
      </c>
      <c r="P88" s="154">
        <f t="shared" ref="P88:P96" ca="1" si="51">IF(M88&gt;0,N88*100/M88,0)</f>
        <v>79.708822596001269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115940</v>
      </c>
      <c r="M90" s="45">
        <f t="shared" ca="1" si="52"/>
        <v>126040</v>
      </c>
      <c r="N90" s="45">
        <f t="shared" ca="1" si="52"/>
        <v>100465</v>
      </c>
      <c r="O90" s="45">
        <f t="shared" ca="1" si="50"/>
        <v>86.652578920131106</v>
      </c>
      <c r="P90" s="45">
        <f t="shared" ca="1" si="51"/>
        <v>79.708822596001269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115940</v>
      </c>
      <c r="M91" s="38">
        <f t="shared" ca="1" si="53"/>
        <v>126040</v>
      </c>
      <c r="N91" s="38">
        <f t="shared" ca="1" si="53"/>
        <v>100465</v>
      </c>
      <c r="O91" s="38">
        <f t="shared" ca="1" si="50"/>
        <v>86.652578920131106</v>
      </c>
      <c r="P91" s="38">
        <f t="shared" ca="1" si="51"/>
        <v>79.708822596001269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IFERROR(__xludf.DUMMYFUNCTION("IMPORTRANGE(""https://docs.google.com/spreadsheets/d/1MeEWN-I1oV_STSDYn1IFDPWt_1FKiwhDph83XaGc0o0/edit?usp=sharing"",""งบพรบ!AQ59"")"),115940)</f>
        <v>115940</v>
      </c>
      <c r="M93" s="45">
        <f ca="1">IFERROR(__xludf.DUMMYFUNCTION("IMPORTRANGE(""https://docs.google.com/spreadsheets/d/1MeEWN-I1oV_STSDYn1IFDPWt_1FKiwhDph83XaGc0o0/edit?usp=sharing"",""งบพรบ!AV59"")"),126040)</f>
        <v>126040</v>
      </c>
      <c r="N93" s="45">
        <f ca="1">IFERROR(__xludf.DUMMYFUNCTION("IMPORTRANGE(""https://docs.google.com/spreadsheets/d/1MeEWN-I1oV_STSDYn1IFDPWt_1FKiwhDph83XaGc0o0/edit?usp=sharing"",""งบพรบ!AX59"")"),100465)</f>
        <v>100465</v>
      </c>
      <c r="O93" s="45">
        <f t="shared" ca="1" si="50"/>
        <v>86.652578920131106</v>
      </c>
      <c r="P93" s="45">
        <f t="shared" ca="1" si="51"/>
        <v>79.708822596001269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IFERROR(__xludf.DUMMYFUNCTION("IMPORTRANGE(""https://docs.google.com/spreadsheets/d/1MeEWN-I1oV_STSDYn1IFDPWt_1FKiwhDph83XaGc0o0/edit?usp=sharing"",""งบพรบ!AT59"")"),0)</f>
        <v>0</v>
      </c>
      <c r="M96" s="45">
        <f ca="1">IFERROR(__xludf.DUMMYFUNCTION("IMPORTRANGE(""https://docs.google.com/spreadsheets/d/1MeEWN-I1oV_STSDYn1IFDPWt_1FKiwhDph83XaGc0o0/edit?usp=sharing"",""งบพรบ!AW59"")"),0)</f>
        <v>0</v>
      </c>
      <c r="N96" s="45">
        <f ca="1">IFERROR(__xludf.DUMMYFUNCTION("IMPORTRANGE(""https://docs.google.com/spreadsheets/d/1MeEWN-I1oV_STSDYn1IFDPWt_1FKiwhDph83XaGc0o0/edit?usp=sharing"",""งบพรบ!AY59"")"),0)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IFERROR(__xludf.DUMMYFUNCTION("IMPORTRANGE(""https://docs.google.com/spreadsheets/d/1QqKyyYR6Q21VydFLVH3TRQUabQu_ym0Zz7PgGX0-kHA/edit?usp=sharing"",""แผน!K59"")"),30)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IFERROR(__xludf.DUMMYFUNCTION("IMPORTRANGE(""https://docs.google.com/spreadsheets/d/1QqKyyYR6Q21VydFLVH3TRQUabQu_ym0Zz7PgGX0-kHA/edit?usp=sharing"",""แผน!L59"")"),10)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IFERROR(__xludf.DUMMYFUNCTION("IMPORTRANGE(""https://docs.google.com/spreadsheets/d/1QqKyyYR6Q21VydFLVH3TRQUabQu_ym0Zz7PgGX0-kHA/edit?usp=sharing"",""แผน!M59"")"),3)</f>
        <v>3</v>
      </c>
      <c r="J100" s="37">
        <f>J107+J110</f>
        <v>3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IFERROR(__xludf.DUMMYFUNCTION("IMPORTRANGE(""https://docs.google.com/spreadsheets/d/1QqKyyYR6Q21VydFLVH3TRQUabQu_ym0Zz7PgGX0-kHA/edit?usp=sharing"",""แผน!N59"")"),30)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IFERROR(__xludf.DUMMYFUNCTION("IMPORTRANGE(""https://docs.google.com/spreadsheets/d/1QqKyyYR6Q21VydFLVH3TRQUabQu_ym0Zz7PgGX0-kHA/edit?usp=sharing"",""แผน!O59"")"),10)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IFERROR(__xludf.DUMMYFUNCTION("IMPORTRANGE(""https://docs.google.com/spreadsheets/d/1QqKyyYR6Q21VydFLVH3TRQUabQu_ym0Zz7PgGX0-kHA/edit?usp=sharing"",""แผน!O59"")"),10)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IFERROR(__xludf.DUMMYFUNCTION("IMPORTRANGE(""https://docs.google.com/spreadsheets/d/1QqKyyYR6Q21VydFLVH3TRQUabQu_ym0Zz7PgGX0-kHA/edit?usp=sharing"",""แผน!P59"")"),2)</f>
        <v>2</v>
      </c>
      <c r="J106" s="181">
        <v>2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IFERROR(__xludf.DUMMYFUNCTION("IMPORTRANGE(""https://docs.google.com/spreadsheets/d/1QqKyyYR6Q21VydFLVH3TRQUabQu_ym0Zz7PgGX0-kHA/edit?usp=sharing"",""แผน!P59"")"),2)</f>
        <v>2</v>
      </c>
      <c r="J107" s="181">
        <v>2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IFERROR(__xludf.DUMMYFUNCTION("IMPORTRANGE(""https://docs.google.com/spreadsheets/d/1QqKyyYR6Q21VydFLVH3TRQUabQu_ym0Zz7PgGX0-kHA/edit?usp=sharing"",""แผน!Q59"")"),1)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IFERROR(__xludf.DUMMYFUNCTION("IMPORTRANGE(""https://docs.google.com/spreadsheets/d/1QqKyyYR6Q21VydFLVH3TRQUabQu_ym0Zz7PgGX0-kHA/edit?usp=sharing"",""แผน!Q59"")"),1)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IFERROR(__xludf.DUMMYFUNCTION("IMPORTRANGE(""https://docs.google.com/spreadsheets/d/1QqKyyYR6Q21VydFLVH3TRQUabQu_ym0Zz7PgGX0-kHA/edit?usp=sharing"",""แผน!R59"")"),10)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IFERROR(__xludf.DUMMYFUNCTION("IMPORTRANGE(""https://docs.google.com/spreadsheets/d/1QqKyyYR6Q21VydFLVH3TRQUabQu_ym0Zz7PgGX0-kHA/edit?usp=sharing"",""แผน!R59"")"),10)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IFERROR(__xludf.DUMMYFUNCTION("IMPORTRANGE(""https://docs.google.com/spreadsheets/d/1QqKyyYR6Q21VydFLVH3TRQUabQu_ym0Zz7PgGX0-kHA/edit?usp=sharing"",""แผน!R59"")"),10)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IFERROR(__xludf.DUMMYFUNCTION("IMPORTRANGE(""https://docs.google.com/spreadsheets/d/1QqKyyYR6Q21VydFLVH3TRQUabQu_ym0Zz7PgGX0-kHA/edit?usp=sharing"",""แผน!S59"")"),2)</f>
        <v>2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IFERROR(__xludf.DUMMYFUNCTION("IMPORTRANGE(""https://docs.google.com/spreadsheets/d/1QqKyyYR6Q21VydFLVH3TRQUabQu_ym0Zz7PgGX0-kHA/edit?usp=sharing"",""แผน!T59"")"),1)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IFERROR(__xludf.DUMMYFUNCTION("IMPORTRANGE(""https://docs.google.com/spreadsheets/d/1MeEWN-I1oV_STSDYn1IFDPWt_1FKiwhDph83XaGc0o0/edit?usp=sharing"",""งบพรบ!BA59"")"),0)</f>
        <v>0</v>
      </c>
      <c r="M124" s="45">
        <f ca="1">IFERROR(__xludf.DUMMYFUNCTION("IMPORTRANGE(""https://docs.google.com/spreadsheets/d/1MeEWN-I1oV_STSDYn1IFDPWt_1FKiwhDph83XaGc0o0/edit?usp=sharing"",""งบพรบ!BF59"")"),0)</f>
        <v>0</v>
      </c>
      <c r="N124" s="45">
        <f ca="1">IFERROR(__xludf.DUMMYFUNCTION("IMPORTRANGE(""https://docs.google.com/spreadsheets/d/1MeEWN-I1oV_STSDYn1IFDPWt_1FKiwhDph83XaGc0o0/edit?usp=sharing"",""งบพรบ!BH59"")"),0)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IFERROR(__xludf.DUMMYFUNCTION("IMPORTRANGE(""https://docs.google.com/spreadsheets/d/1MeEWN-I1oV_STSDYn1IFDPWt_1FKiwhDph83XaGc0o0/edit?usp=sharing"",""งบพรบ!BD59"")"),0)</f>
        <v>0</v>
      </c>
      <c r="M127" s="45">
        <f ca="1">IFERROR(__xludf.DUMMYFUNCTION("IMPORTRANGE(""https://docs.google.com/spreadsheets/d/1MeEWN-I1oV_STSDYn1IFDPWt_1FKiwhDph83XaGc0o0/edit?usp=sharing"",""งบพรบ!BG59"")"),0)</f>
        <v>0</v>
      </c>
      <c r="N127" s="45">
        <f ca="1">IFERROR(__xludf.DUMMYFUNCTION("IMPORTRANGE(""https://docs.google.com/spreadsheets/d/1MeEWN-I1oV_STSDYn1IFDPWt_1FKiwhDph83XaGc0o0/edit?usp=sharing"",""งบพรบ!BI59"")"),0)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IFERROR(__xludf.DUMMYFUNCTION("IMPORTRANGE(""https://docs.google.com/spreadsheets/d/1MeEWN-I1oV_STSDYn1IFDPWt_1FKiwhDph83XaGc0o0/edit?usp=sharing"",""งบพรบ!BK59"")"),0)</f>
        <v>0</v>
      </c>
      <c r="M137" s="45">
        <f ca="1">IFERROR(__xludf.DUMMYFUNCTION("IMPORTRANGE(""https://docs.google.com/spreadsheets/d/1MeEWN-I1oV_STSDYn1IFDPWt_1FKiwhDph83XaGc0o0/edit?usp=sharing"",""งบพรบ!BP59"")"),0)</f>
        <v>0</v>
      </c>
      <c r="N137" s="45">
        <f ca="1">IFERROR(__xludf.DUMMYFUNCTION("IMPORTRANGE(""https://docs.google.com/spreadsheets/d/1MeEWN-I1oV_STSDYn1IFDPWt_1FKiwhDph83XaGc0o0/edit?usp=sharing"",""งบพรบ!BR59"")"),0)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IFERROR(__xludf.DUMMYFUNCTION("IMPORTRANGE(""https://docs.google.com/spreadsheets/d/1MeEWN-I1oV_STSDYn1IFDPWt_1FKiwhDph83XaGc0o0/edit?usp=sharing"",""งบพรบ!BN59"")"),0)</f>
        <v>0</v>
      </c>
      <c r="M140" s="45">
        <f ca="1">IFERROR(__xludf.DUMMYFUNCTION("IMPORTRANGE(""https://docs.google.com/spreadsheets/d/1MeEWN-I1oV_STSDYn1IFDPWt_1FKiwhDph83XaGc0o0/edit?usp=sharing"",""งบพรบ!BQ59"")"),0)</f>
        <v>0</v>
      </c>
      <c r="N140" s="45">
        <f ca="1">IFERROR(__xludf.DUMMYFUNCTION("IMPORTRANGE(""https://docs.google.com/spreadsheets/d/1MeEWN-I1oV_STSDYn1IFDPWt_1FKiwhDph83XaGc0o0/edit?usp=sharing"",""งบพรบ!BS59"")"),0)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IFERROR(__xludf.DUMMYFUNCTION("IMPORTRANGE(""https://docs.google.com/spreadsheets/d/1QqKyyYR6Q21VydFLVH3TRQUabQu_ym0Zz7PgGX0-kHA/edit?usp=sharing"",""แผน!U59"")"),0)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IFERROR(__xludf.DUMMYFUNCTION("IMPORTRANGE(""https://docs.google.com/spreadsheets/d/1QqKyyYR6Q21VydFLVH3TRQUabQu_ym0Zz7PgGX0-kHA/edit?usp=sharing"",""แผน!V59"")"),0)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IFERROR(__xludf.DUMMYFUNCTION("IMPORTRANGE(""https://docs.google.com/spreadsheets/d/1QqKyyYR6Q21VydFLVH3TRQUabQu_ym0Zz7PgGX0-kHA/edit?usp=sharing"",""แผน!W59"")"),0)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IFERROR(__xludf.DUMMYFUNCTION("IMPORTRANGE(""https://docs.google.com/spreadsheets/d/1MeEWN-I1oV_STSDYn1IFDPWt_1FKiwhDph83XaGc0o0/edit?usp=sharing"",""งบพรบ!BU59"")"),0)</f>
        <v>0</v>
      </c>
      <c r="M154" s="45">
        <f ca="1">IFERROR(__xludf.DUMMYFUNCTION("IMPORTRANGE(""https://docs.google.com/spreadsheets/d/1MeEWN-I1oV_STSDYn1IFDPWt_1FKiwhDph83XaGc0o0/edit?usp=sharing"",""งบพรบ!BZ59"")"),0)</f>
        <v>0</v>
      </c>
      <c r="N154" s="45">
        <f ca="1">IFERROR(__xludf.DUMMYFUNCTION("IMPORTRANGE(""https://docs.google.com/spreadsheets/d/1MeEWN-I1oV_STSDYn1IFDPWt_1FKiwhDph83XaGc0o0/edit?usp=sharing"",""งบพรบ!CB59"")"),0)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IFERROR(__xludf.DUMMYFUNCTION("IMPORTRANGE(""https://docs.google.com/spreadsheets/d/1MeEWN-I1oV_STSDYn1IFDPWt_1FKiwhDph83XaGc0o0/edit?usp=sharing"",""งบพรบ!BX59"")"),0)</f>
        <v>0</v>
      </c>
      <c r="M157" s="45">
        <f ca="1">IFERROR(__xludf.DUMMYFUNCTION("IMPORTRANGE(""https://docs.google.com/spreadsheets/d/1MeEWN-I1oV_STSDYn1IFDPWt_1FKiwhDph83XaGc0o0/edit?usp=sharing"",""งบพรบ!CA59"")"),0)</f>
        <v>0</v>
      </c>
      <c r="N157" s="45">
        <f ca="1">IFERROR(__xludf.DUMMYFUNCTION("IMPORTRANGE(""https://docs.google.com/spreadsheets/d/1MeEWN-I1oV_STSDYn1IFDPWt_1FKiwhDph83XaGc0o0/edit?usp=sharing"",""งบพรบ!CC59"")"),0)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831">
        <f t="shared" ref="I164:J164" ca="1" si="83">I174+I177</f>
        <v>0</v>
      </c>
      <c r="J164" s="831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IFERROR(__xludf.DUMMYFUNCTION("IMPORTRANGE(""https://docs.google.com/spreadsheets/d/1MeEWN-I1oV_STSDYn1IFDPWt_1FKiwhDph83XaGc0o0/edit?usp=sharing"",""งบพรบ!CE59"")"),0)</f>
        <v>0</v>
      </c>
      <c r="M170" s="45">
        <f ca="1">IFERROR(__xludf.DUMMYFUNCTION("IMPORTRANGE(""https://docs.google.com/spreadsheets/d/1MeEWN-I1oV_STSDYn1IFDPWt_1FKiwhDph83XaGc0o0/edit?usp=sharing"",""งบพรบ!CJ59"")"),0)</f>
        <v>0</v>
      </c>
      <c r="N170" s="45">
        <f ca="1">IFERROR(__xludf.DUMMYFUNCTION("IMPORTRANGE(""https://docs.google.com/spreadsheets/d/1MeEWN-I1oV_STSDYn1IFDPWt_1FKiwhDph83XaGc0o0/edit?usp=sharing"",""งบพรบ!CL59"")"),0)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IFERROR(__xludf.DUMMYFUNCTION("IMPORTRANGE(""https://docs.google.com/spreadsheets/d/1MeEWN-I1oV_STSDYn1IFDPWt_1FKiwhDph83XaGc0o0/edit?usp=sharing"",""งบพรบ!CH59"")"),0)</f>
        <v>0</v>
      </c>
      <c r="M173" s="45">
        <f ca="1">IFERROR(__xludf.DUMMYFUNCTION("IMPORTRANGE(""https://docs.google.com/spreadsheets/d/1MeEWN-I1oV_STSDYn1IFDPWt_1FKiwhDph83XaGc0o0/edit?usp=sharing"",""งบพรบ!CK59"")"),0)</f>
        <v>0</v>
      </c>
      <c r="N173" s="45">
        <f ca="1">IFERROR(__xludf.DUMMYFUNCTION("IMPORTRANGE(""https://docs.google.com/spreadsheets/d/1MeEWN-I1oV_STSDYn1IFDPWt_1FKiwhDph83XaGc0o0/edit?usp=sharing"",""งบพรบ!CM59"")"),0)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IFERROR(__xludf.DUMMYFUNCTION("IMPORTRANGE(""https://docs.google.com/spreadsheets/d/1QqKyyYR6Q21VydFLVH3TRQUabQu_ym0Zz7PgGX0-kHA/edit?usp=sharing"",""แผน!Y59"")"),0)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20</v>
      </c>
      <c r="J180" s="242">
        <f t="shared" si="91"/>
        <v>20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273800</v>
      </c>
      <c r="M181" s="154">
        <f t="shared" ca="1" si="92"/>
        <v>302010</v>
      </c>
      <c r="N181" s="154">
        <f t="shared" ca="1" si="92"/>
        <v>248168.95</v>
      </c>
      <c r="O181" s="154">
        <f t="shared" ref="O181:O189" ca="1" si="93">IF(L181&gt;0,N181*100/L181,0)</f>
        <v>90.638769174579991</v>
      </c>
      <c r="P181" s="154">
        <f t="shared" ref="P181:P189" ca="1" si="94">IF(M181&gt;0,N181*100/M181,0)</f>
        <v>82.172428065295847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273800</v>
      </c>
      <c r="M183" s="45">
        <f t="shared" ca="1" si="95"/>
        <v>302010</v>
      </c>
      <c r="N183" s="45">
        <f t="shared" ca="1" si="95"/>
        <v>248168.95</v>
      </c>
      <c r="O183" s="45">
        <f t="shared" ca="1" si="93"/>
        <v>90.638769174579991</v>
      </c>
      <c r="P183" s="45">
        <f t="shared" ca="1" si="94"/>
        <v>82.172428065295847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273800</v>
      </c>
      <c r="M184" s="38">
        <f t="shared" ca="1" si="96"/>
        <v>302010</v>
      </c>
      <c r="N184" s="38">
        <f t="shared" ca="1" si="96"/>
        <v>248168.95</v>
      </c>
      <c r="O184" s="38">
        <f t="shared" ca="1" si="93"/>
        <v>90.638769174579991</v>
      </c>
      <c r="P184" s="38">
        <f t="shared" ca="1" si="94"/>
        <v>82.172428065295847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IFERROR(__xludf.DUMMYFUNCTION("IMPORTRANGE(""https://docs.google.com/spreadsheets/d/1MeEWN-I1oV_STSDYn1IFDPWt_1FKiwhDph83XaGc0o0/edit?usp=sharing"",""งบพรบ!CO59"")"),273800)</f>
        <v>273800</v>
      </c>
      <c r="M186" s="45">
        <f ca="1">IFERROR(__xludf.DUMMYFUNCTION("IMPORTRANGE(""https://docs.google.com/spreadsheets/d/1MeEWN-I1oV_STSDYn1IFDPWt_1FKiwhDph83XaGc0o0/edit?usp=sharing"",""งบพรบ!CT59"")"),302010)</f>
        <v>302010</v>
      </c>
      <c r="N186" s="45">
        <f ca="1">IFERROR(__xludf.DUMMYFUNCTION("IMPORTRANGE(""https://docs.google.com/spreadsheets/d/1MeEWN-I1oV_STSDYn1IFDPWt_1FKiwhDph83XaGc0o0/edit?usp=sharing"",""งบพรบ!CV59"")"),248168.95)</f>
        <v>248168.95</v>
      </c>
      <c r="O186" s="45">
        <f t="shared" ca="1" si="93"/>
        <v>90.638769174579991</v>
      </c>
      <c r="P186" s="45">
        <f t="shared" ca="1" si="94"/>
        <v>82.172428065295847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IFERROR(__xludf.DUMMYFUNCTION("IMPORTRANGE(""https://docs.google.com/spreadsheets/d/1MeEWN-I1oV_STSDYn1IFDPWt_1FKiwhDph83XaGc0o0/edit?usp=sharing"",""งบพรบ!CR59"")"),0)</f>
        <v>0</v>
      </c>
      <c r="M189" s="45">
        <f ca="1">IFERROR(__xludf.DUMMYFUNCTION("IMPORTRANGE(""https://docs.google.com/spreadsheets/d/1MeEWN-I1oV_STSDYn1IFDPWt_1FKiwhDph83XaGc0o0/edit?usp=sharing"",""งบพรบ!CU59"")"),0)</f>
        <v>0</v>
      </c>
      <c r="N189" s="45">
        <f ca="1">IFERROR(__xludf.DUMMYFUNCTION("IMPORTRANGE(""https://docs.google.com/spreadsheets/d/1MeEWN-I1oV_STSDYn1IFDPWt_1FKiwhDph83XaGc0o0/edit?usp=sharing"",""งบพรบ!CW59"")"),0)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IFERROR(__xludf.DUMMYFUNCTION("IMPORTRANGE(""https://docs.google.com/spreadsheets/d/1QqKyyYR6Q21VydFLVH3TRQUabQu_ym0Zz7PgGX0-kHA/edit?usp=sharing"",""แผน!Z59"")"),6000)</f>
        <v>6000</v>
      </c>
      <c r="M191" s="154"/>
      <c r="N191" s="264">
        <v>2280</v>
      </c>
      <c r="O191" s="154">
        <f ca="1">IF(L191&gt;0,N191*100/L191,0)</f>
        <v>38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IFERROR(__xludf.DUMMYFUNCTION("IMPORTRANGE(""https://docs.google.com/spreadsheets/d/1QqKyyYR6Q21VydFLVH3TRQUabQu_ym0Zz7PgGX0-kHA/edit?usp=sharing"",""แผน!AC59"")"),4)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68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68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IFERROR(__xludf.DUMMYFUNCTION("IMPORTRANGE(""https://docs.google.com/spreadsheets/d/1QqKyyYR6Q21VydFLVH3TRQUabQu_ym0Zz7PgGX0-kHA/edit?usp=sharing"",""แผน!AE59"")"),1000)</f>
        <v>1000</v>
      </c>
      <c r="M199" s="38"/>
      <c r="N199" s="271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IFERROR(__xludf.DUMMYFUNCTION("IMPORTRANGE(""https://docs.google.com/spreadsheets/d/1QqKyyYR6Q21VydFLVH3TRQUabQu_ym0Zz7PgGX0-kHA/edit?usp=sharing"",""แผน!AF59"")"),8000)</f>
        <v>8000</v>
      </c>
      <c r="M200" s="38"/>
      <c r="N200" s="271">
        <v>8000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IFERROR(__xludf.DUMMYFUNCTION("IMPORTRANGE(""https://docs.google.com/spreadsheets/d/1QqKyyYR6Q21VydFLVH3TRQUabQu_ym0Zz7PgGX0-kHA/edit?usp=sharing"",""แผน!AG59"")"),4000)</f>
        <v>4000</v>
      </c>
      <c r="M201" s="38"/>
      <c r="N201" s="271">
        <v>4000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IFERROR(__xludf.DUMMYFUNCTION("IMPORTRANGE(""https://docs.google.com/spreadsheets/d/1QqKyyYR6Q21VydFLVH3TRQUabQu_ym0Zz7PgGX0-kHA/edit?usp=sharing"",""แผน!AH59"")"),0)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IFERROR(__xludf.DUMMYFUNCTION("IMPORTRANGE(""https://docs.google.com/spreadsheets/d/1QqKyyYR6Q21VydFLVH3TRQUabQu_ym0Zz7PgGX0-kHA/edit?usp=sharing"",""แผน!AI59"")"),1)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4"/>
      <c r="G206" s="275"/>
      <c r="H206" s="276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7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IFERROR(__xludf.DUMMYFUNCTION("IMPORTRANGE(""https://docs.google.com/spreadsheets/d/1QqKyyYR6Q21VydFLVH3TRQUabQu_ym0Zz7PgGX0-kHA/edit?usp=sharing"",""แผน!AK59"")"),0)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IFERROR(__xludf.DUMMYFUNCTION("IMPORTRANGE(""https://docs.google.com/spreadsheets/d/1QqKyyYR6Q21VydFLVH3TRQUabQu_ym0Zz7PgGX0-kHA/edit?usp=sharing"",""แผน!AL59"")"),0)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IFERROR(__xludf.DUMMYFUNCTION("IMPORTRANGE(""https://docs.google.com/spreadsheets/d/1QqKyyYR6Q21VydFLVH3TRQUabQu_ym0Zz7PgGX0-kHA/edit?usp=sharing"",""แผน!AM59"")"),0)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IFERROR(__xludf.DUMMYFUNCTION("IMPORTRANGE(""https://docs.google.com/spreadsheets/d/1QqKyyYR6Q21VydFLVH3TRQUabQu_ym0Zz7PgGX0-kHA/edit?usp=sharing"",""แผน!AN59"")"),0)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IFERROR(__xludf.DUMMYFUNCTION("IMPORTRANGE(""https://docs.google.com/spreadsheets/d/1QqKyyYR6Q21VydFLVH3TRQUabQu_ym0Zz7PgGX0-kHA/edit?usp=sharing"",""แผน!AN59"")"),0)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30000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IFERROR(__xludf.DUMMYFUNCTION("IMPORTRANGE(""https://docs.google.com/spreadsheets/d/1QqKyyYR6Q21VydFLVH3TRQUabQu_ym0Zz7PgGX0-kHA/edit?usp=sharing"",""แผน!AP59"")"),5000)</f>
        <v>5000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IFERROR(__xludf.DUMMYFUNCTION("IMPORTRANGE(""https://docs.google.com/spreadsheets/d/1QqKyyYR6Q21VydFLVH3TRQUabQu_ym0Zz7PgGX0-kHA/edit?usp=sharing"",""แผน!AQ59"")"),8500)</f>
        <v>8500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IFERROR(__xludf.DUMMYFUNCTION("IMPORTRANGE(""https://docs.google.com/spreadsheets/d/1QqKyyYR6Q21VydFLVH3TRQUabQu_ym0Zz7PgGX0-kHA/edit?usp=sharing"",""แผน!AR59"")"),0)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IFERROR(__xludf.DUMMYFUNCTION("IMPORTRANGE(""https://docs.google.com/spreadsheets/d/1QqKyyYR6Q21VydFLVH3TRQUabQu_ym0Zz7PgGX0-kHA/edit?usp=sharing"",""แผน!AT59"")"),30000)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IFERROR(__xludf.DUMMYFUNCTION("IMPORTRANGE(""https://docs.google.com/spreadsheets/d/1QqKyyYR6Q21VydFLVH3TRQUabQu_ym0Zz7PgGX0-kHA/edit?usp=sharing"",""แผน!AT59"")"),30000)</f>
        <v>30000</v>
      </c>
      <c r="J224" s="181">
        <v>30000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20</v>
      </c>
      <c r="J226" s="330">
        <f t="shared" si="105"/>
        <v>20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93200</v>
      </c>
      <c r="M227" s="341"/>
      <c r="N227" s="341">
        <f t="shared" ref="N227:N231" si="107">N238+N249</f>
        <v>60740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20000</v>
      </c>
      <c r="M228" s="45"/>
      <c r="N228" s="45">
        <f t="shared" si="107"/>
        <v>2260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53200</v>
      </c>
      <c r="M229" s="45"/>
      <c r="N229" s="45">
        <f t="shared" si="107"/>
        <v>38480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10000</v>
      </c>
      <c r="M230" s="45"/>
      <c r="N230" s="45">
        <f t="shared" si="107"/>
        <v>10000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20</v>
      </c>
      <c r="J233" s="44">
        <f t="shared" si="108"/>
        <v>20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20</v>
      </c>
      <c r="J235" s="44">
        <f t="shared" si="109"/>
        <v>20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342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20</v>
      </c>
      <c r="J237" s="260">
        <f t="shared" si="111"/>
        <v>20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93200</v>
      </c>
      <c r="M238" s="154"/>
      <c r="N238" s="154">
        <f>N239+N240+N241+N242</f>
        <v>60740</v>
      </c>
      <c r="O238" s="154">
        <f ca="1">IF(L238&gt;0,N238*100/L238,0)</f>
        <v>65.171673819742495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IFERROR(__xludf.DUMMYFUNCTION("IMPORTRANGE(""https://docs.google.com/spreadsheets/d/1QqKyyYR6Q21VydFLVH3TRQUabQu_ym0Zz7PgGX0-kHA/edit?usp=sharing"",""แผน!AV59"")"),20000)</f>
        <v>20000</v>
      </c>
      <c r="M239" s="270"/>
      <c r="N239" s="808">
        <v>2260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IFERROR(__xludf.DUMMYFUNCTION("IMPORTRANGE(""https://docs.google.com/spreadsheets/d/1QqKyyYR6Q21VydFLVH3TRQUabQu_ym0Zz7PgGX0-kHA/edit?usp=sharing"",""แผน!AW59"")"),53200)</f>
        <v>53200</v>
      </c>
      <c r="M240" s="270"/>
      <c r="N240" s="808">
        <v>38480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IFERROR(__xludf.DUMMYFUNCTION("IMPORTRANGE(""https://docs.google.com/spreadsheets/d/1QqKyyYR6Q21VydFLVH3TRQUabQu_ym0Zz7PgGX0-kHA/edit?usp=sharing"",""แผน!AX59"")"),10000)</f>
        <v>10000</v>
      </c>
      <c r="M241" s="270"/>
      <c r="N241" s="808">
        <v>10000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IFERROR(__xludf.DUMMYFUNCTION("IMPORTRANGE(""https://docs.google.com/spreadsheets/d/1QqKyyYR6Q21VydFLVH3TRQUabQu_ym0Zz7PgGX0-kHA/edit?usp=sharing"",""แผน!AY59"")"),10000)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IFERROR(__xludf.DUMMYFUNCTION("IMPORTRANGE(""https://docs.google.com/spreadsheets/d/1QqKyyYR6Q21VydFLVH3TRQUabQu_ym0Zz7PgGX0-kHA/edit?usp=sharing"",""แผน!BE59"")"),20)</f>
        <v>20</v>
      </c>
      <c r="J244" s="181">
        <v>20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20</v>
      </c>
      <c r="J246" s="181">
        <v>20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IFERROR(__xludf.DUMMYFUNCTION("IMPORTRANGE(""https://docs.google.com/spreadsheets/d/1QqKyyYR6Q21VydFLVH3TRQUabQu_ym0Zz7PgGX0-kHA/edit?usp=sharing"",""แผน!AZ59"")"),0)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IFERROR(__xludf.DUMMYFUNCTION("IMPORTRANGE(""https://docs.google.com/spreadsheets/d/1QqKyyYR6Q21VydFLVH3TRQUabQu_ym0Zz7PgGX0-kHA/edit?usp=sharing"",""แผน!BA59"")"),0)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IFERROR(__xludf.DUMMYFUNCTION("IMPORTRANGE(""https://docs.google.com/spreadsheets/d/1QqKyyYR6Q21VydFLVH3TRQUabQu_ym0Zz7PgGX0-kHA/edit?usp=sharing"",""แผน!BB59"")"),0)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IFERROR(__xludf.DUMMYFUNCTION("IMPORTRANGE(""https://docs.google.com/spreadsheets/d/1QqKyyYR6Q21VydFLVH3TRQUabQu_ym0Zz7PgGX0-kHA/edit?usp=sharing"",""แผน!BC59"")"),0)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IFERROR(__xludf.DUMMYFUNCTION("IMPORTRANGE(""https://docs.google.com/spreadsheets/d/1QqKyyYR6Q21VydFLVH3TRQUabQu_ym0Zz7PgGX0-kHA/edit?usp=sharing"",""แผน!BF59"")"),0)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20288</v>
      </c>
      <c r="O261" s="154">
        <f t="shared" ref="O261:O269" ca="1" si="117">IF(L261&gt;0,N261*100/L261,0)</f>
        <v>75.420074349442373</v>
      </c>
      <c r="P261" s="154">
        <f t="shared" ref="P261:P269" ca="1" si="118">IF(M261&gt;0,N261*100/M261,0)</f>
        <v>75.420074349442373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20288</v>
      </c>
      <c r="O263" s="45">
        <f t="shared" ca="1" si="117"/>
        <v>75.420074349442373</v>
      </c>
      <c r="P263" s="45">
        <f t="shared" ca="1" si="118"/>
        <v>75.420074349442373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20288</v>
      </c>
      <c r="O264" s="38">
        <f t="shared" ca="1" si="117"/>
        <v>75.420074349442373</v>
      </c>
      <c r="P264" s="38">
        <f t="shared" ca="1" si="118"/>
        <v>75.420074349442373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IFERROR(__xludf.DUMMYFUNCTION("IMPORTRANGE(""https://docs.google.com/spreadsheets/d/1MeEWN-I1oV_STSDYn1IFDPWt_1FKiwhDph83XaGc0o0/edit?usp=sharing"",""งบพรบ!CY59"")"),26900)</f>
        <v>26900</v>
      </c>
      <c r="M266" s="45">
        <f ca="1">IFERROR(__xludf.DUMMYFUNCTION("IMPORTRANGE(""https://docs.google.com/spreadsheets/d/1MeEWN-I1oV_STSDYn1IFDPWt_1FKiwhDph83XaGc0o0/edit?usp=sharing"",""งบพรบ!DD59"")"),26900)</f>
        <v>26900</v>
      </c>
      <c r="N266" s="45">
        <f ca="1">IFERROR(__xludf.DUMMYFUNCTION("IMPORTRANGE(""https://docs.google.com/spreadsheets/d/1MeEWN-I1oV_STSDYn1IFDPWt_1FKiwhDph83XaGc0o0/edit?usp=sharing"",""งบพรบ!DF59"")"),20288)</f>
        <v>20288</v>
      </c>
      <c r="O266" s="45">
        <f t="shared" ca="1" si="117"/>
        <v>75.420074349442373</v>
      </c>
      <c r="P266" s="45">
        <f t="shared" ca="1" si="118"/>
        <v>75.420074349442373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IFERROR(__xludf.DUMMYFUNCTION("IMPORTRANGE(""https://docs.google.com/spreadsheets/d/1MeEWN-I1oV_STSDYn1IFDPWt_1FKiwhDph83XaGc0o0/edit?usp=sharing"",""งบพรบ!DB59"")"),0)</f>
        <v>0</v>
      </c>
      <c r="M269" s="45">
        <f ca="1">IFERROR(__xludf.DUMMYFUNCTION("IMPORTRANGE(""https://docs.google.com/spreadsheets/d/1MeEWN-I1oV_STSDYn1IFDPWt_1FKiwhDph83XaGc0o0/edit?usp=sharing"",""งบพรบ!DE59"")"),0)</f>
        <v>0</v>
      </c>
      <c r="N269" s="45">
        <f ca="1">IFERROR(__xludf.DUMMYFUNCTION("IMPORTRANGE(""https://docs.google.com/spreadsheets/d/1MeEWN-I1oV_STSDYn1IFDPWt_1FKiwhDph83XaGc0o0/edit?usp=sharing"",""งบพรบ!DG59"")"),0)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IFERROR(__xludf.DUMMYFUNCTION("IMPORTRANGE(""https://docs.google.com/spreadsheets/d/1QqKyyYR6Q21VydFLVH3TRQUabQu_ym0Zz7PgGX0-kHA/edit?usp=sharing"",""แผน!EA59"")"),22)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4">I287</f>
        <v>50</v>
      </c>
      <c r="J276" s="810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12930</v>
      </c>
      <c r="O277" s="154">
        <f t="shared" ref="O277:O285" ca="1" si="126">IF(L277&gt;0,N277*100/L277,0)</f>
        <v>57.136544410075125</v>
      </c>
      <c r="P277" s="154">
        <f t="shared" ref="P277:P285" ca="1" si="127">IF(M277&gt;0,N277*100/M277,0)</f>
        <v>57.136544410075125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12930</v>
      </c>
      <c r="O279" s="45">
        <f t="shared" ca="1" si="126"/>
        <v>57.136544410075125</v>
      </c>
      <c r="P279" s="45">
        <f t="shared" ca="1" si="127"/>
        <v>57.136544410075125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12930</v>
      </c>
      <c r="O280" s="38">
        <f t="shared" ca="1" si="126"/>
        <v>57.136544410075125</v>
      </c>
      <c r="P280" s="38">
        <f t="shared" ca="1" si="127"/>
        <v>57.136544410075125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IFERROR(__xludf.DUMMYFUNCTION("IMPORTRANGE(""https://docs.google.com/spreadsheets/d/1MeEWN-I1oV_STSDYn1IFDPWt_1FKiwhDph83XaGc0o0/edit?usp=sharing"",""งบพรบ!DI59"")"),22630)</f>
        <v>22630</v>
      </c>
      <c r="M282" s="45">
        <f ca="1">IFERROR(__xludf.DUMMYFUNCTION("IMPORTRANGE(""https://docs.google.com/spreadsheets/d/1MeEWN-I1oV_STSDYn1IFDPWt_1FKiwhDph83XaGc0o0/edit?usp=sharing"",""งบพรบ!DN59"")"),22630)</f>
        <v>22630</v>
      </c>
      <c r="N282" s="45">
        <f ca="1">IFERROR(__xludf.DUMMYFUNCTION("IMPORTRANGE(""https://docs.google.com/spreadsheets/d/1MeEWN-I1oV_STSDYn1IFDPWt_1FKiwhDph83XaGc0o0/edit?usp=sharing"",""งบพรบ!DP59"")"),12930)</f>
        <v>12930</v>
      </c>
      <c r="O282" s="45">
        <f t="shared" ca="1" si="126"/>
        <v>57.136544410075125</v>
      </c>
      <c r="P282" s="45">
        <f t="shared" ca="1" si="127"/>
        <v>57.136544410075125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IFERROR(__xludf.DUMMYFUNCTION("IMPORTRANGE(""https://docs.google.com/spreadsheets/d/1MeEWN-I1oV_STSDYn1IFDPWt_1FKiwhDph83XaGc0o0/edit?usp=sharing"",""งบพรบ!DL59"")"),0)</f>
        <v>0</v>
      </c>
      <c r="M285" s="45">
        <f ca="1">IFERROR(__xludf.DUMMYFUNCTION("IMPORTRANGE(""https://docs.google.com/spreadsheets/d/1MeEWN-I1oV_STSDYn1IFDPWt_1FKiwhDph83XaGc0o0/edit?usp=sharing"",""งบพรบ!DO59"")"),0)</f>
        <v>0</v>
      </c>
      <c r="N285" s="45">
        <f ca="1">IFERROR(__xludf.DUMMYFUNCTION("IMPORTRANGE(""https://docs.google.com/spreadsheets/d/1MeEWN-I1oV_STSDYn1IFDPWt_1FKiwhDph83XaGc0o0/edit?usp=sharing"",""งบพรบ!DQ59"")"),0)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IFERROR(__xludf.DUMMYFUNCTION("IMPORTRANGE(""https://docs.google.com/spreadsheets/d/1QqKyyYR6Q21VydFLVH3TRQUabQu_ym0Zz7PgGX0-kHA/edit?usp=sharing"",""แผน!EC59"")"),50)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IFERROR(__xludf.DUMMYFUNCTION("IMPORTRANGE(""https://docs.google.com/spreadsheets/d/1QqKyyYR6Q21VydFLVH3TRQUabQu_ym0Zz7PgGX0-kHA/edit?usp=sharing"",""แผน!EB59"")"),5)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IFERROR(__xludf.DUMMYFUNCTION("IMPORTRANGE(""https://docs.google.com/spreadsheets/d/1QqKyyYR6Q21VydFLVH3TRQUabQu_ym0Zz7PgGX0-kHA/edit?usp=sharing"",""แผน!EB59"")"),5)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IFERROR(__xludf.DUMMYFUNCTION("IMPORTRANGE(""https://docs.google.com/spreadsheets/d/1QqKyyYR6Q21VydFLVH3TRQUabQu_ym0Zz7PgGX0-kHA/edit?usp=sharing"",""แผน!EB59"")"),5)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IFERROR(__xludf.DUMMYFUNCTION("IMPORTRANGE(""https://docs.google.com/spreadsheets/d/1QqKyyYR6Q21VydFLVH3TRQUabQu_ym0Zz7PgGX0-kHA/edit?usp=sharing"",""แผน!EB59"")"),5)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IFERROR(__xludf.DUMMYFUNCTION("IMPORTRANGE(""https://docs.google.com/spreadsheets/d/1QqKyyYR6Q21VydFLVH3TRQUabQu_ym0Zz7PgGX0-kHA/edit?usp=sharing"",""แผน!EB59"")"),5)</f>
        <v>5</v>
      </c>
      <c r="J294" s="401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15</v>
      </c>
      <c r="J297" s="421">
        <f t="shared" si="134"/>
        <v>15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206800</v>
      </c>
      <c r="M298" s="154">
        <f t="shared" ca="1" si="135"/>
        <v>206800</v>
      </c>
      <c r="N298" s="154">
        <f t="shared" ca="1" si="135"/>
        <v>147837</v>
      </c>
      <c r="O298" s="154">
        <f t="shared" ref="O298:O306" ca="1" si="136">IF(L298&gt;0,N298*100/L298,0)</f>
        <v>71.487911025145067</v>
      </c>
      <c r="P298" s="154">
        <f t="shared" ref="P298:P306" ca="1" si="137">IF(M298&gt;0,N298*100/M298,0)</f>
        <v>71.487911025145067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206800</v>
      </c>
      <c r="M300" s="45">
        <f t="shared" ca="1" si="138"/>
        <v>206800</v>
      </c>
      <c r="N300" s="45">
        <f t="shared" ca="1" si="138"/>
        <v>147837</v>
      </c>
      <c r="O300" s="45">
        <f t="shared" ca="1" si="136"/>
        <v>71.487911025145067</v>
      </c>
      <c r="P300" s="45">
        <f t="shared" ca="1" si="137"/>
        <v>71.487911025145067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206800</v>
      </c>
      <c r="M301" s="38">
        <f t="shared" ca="1" si="139"/>
        <v>206800</v>
      </c>
      <c r="N301" s="38">
        <f t="shared" ca="1" si="139"/>
        <v>147837</v>
      </c>
      <c r="O301" s="38">
        <f t="shared" ca="1" si="136"/>
        <v>71.487911025145067</v>
      </c>
      <c r="P301" s="38">
        <f t="shared" ca="1" si="137"/>
        <v>71.487911025145067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IFERROR(__xludf.DUMMYFUNCTION("IMPORTRANGE(""https://docs.google.com/spreadsheets/d/1MeEWN-I1oV_STSDYn1IFDPWt_1FKiwhDph83XaGc0o0/edit?usp=sharing"",""งบพรบ!DS59"")"),206800)</f>
        <v>206800</v>
      </c>
      <c r="M303" s="45">
        <f ca="1">IFERROR(__xludf.DUMMYFUNCTION("IMPORTRANGE(""https://docs.google.com/spreadsheets/d/1MeEWN-I1oV_STSDYn1IFDPWt_1FKiwhDph83XaGc0o0/edit?usp=sharing"",""งบพรบ!DX59"")"),206800)</f>
        <v>206800</v>
      </c>
      <c r="N303" s="45">
        <f ca="1">IFERROR(__xludf.DUMMYFUNCTION("IMPORTRANGE(""https://docs.google.com/spreadsheets/d/1MeEWN-I1oV_STSDYn1IFDPWt_1FKiwhDph83XaGc0o0/edit?usp=sharing"",""งบพรบ!DZ59"")"),147837)</f>
        <v>147837</v>
      </c>
      <c r="O303" s="45">
        <f t="shared" ca="1" si="136"/>
        <v>71.487911025145067</v>
      </c>
      <c r="P303" s="45">
        <f t="shared" ca="1" si="137"/>
        <v>71.487911025145067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IFERROR(__xludf.DUMMYFUNCTION("IMPORTRANGE(""https://docs.google.com/spreadsheets/d/1MeEWN-I1oV_STSDYn1IFDPWt_1FKiwhDph83XaGc0o0/edit?usp=sharing"",""งบพรบ!DV59"")"),0)</f>
        <v>0</v>
      </c>
      <c r="M306" s="45">
        <f ca="1">IFERROR(__xludf.DUMMYFUNCTION("IMPORTRANGE(""https://docs.google.com/spreadsheets/d/1MeEWN-I1oV_STSDYn1IFDPWt_1FKiwhDph83XaGc0o0/edit?usp=sharing"",""งบพรบ!DY59"")"),0)</f>
        <v>0</v>
      </c>
      <c r="N306" s="45">
        <f ca="1">IFERROR(__xludf.DUMMYFUNCTION("IMPORTRANGE(""https://docs.google.com/spreadsheets/d/1MeEWN-I1oV_STSDYn1IFDPWt_1FKiwhDph83XaGc0o0/edit?usp=sharing"",""งบพรบ!EA59"")"),0)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IFERROR(__xludf.DUMMYFUNCTION("IMPORTRANGE(""https://docs.google.com/spreadsheets/d/1QqKyyYR6Q21VydFLVH3TRQUabQu_ym0Zz7PgGX0-kHA/edit?usp=sharing"",""แผน!ED59"")"),15)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IFERROR(__xludf.DUMMYFUNCTION("IMPORTRANGE(""https://docs.google.com/spreadsheets/d/1QqKyyYR6Q21VydFLVH3TRQUabQu_ym0Zz7PgGX0-kHA/edit?usp=sharing"",""แผน!ED59"")"),15)</f>
        <v>15</v>
      </c>
      <c r="J310" s="181">
        <v>15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IFERROR(__xludf.DUMMYFUNCTION("IMPORTRANGE(""https://docs.google.com/spreadsheets/d/1QqKyyYR6Q21VydFLVH3TRQUabQu_ym0Zz7PgGX0-kHA/edit?usp=sharing"",""แผน!ED59"")"),15)</f>
        <v>15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IFERROR(__xludf.DUMMYFUNCTION("IMPORTRANGE(""https://docs.google.com/spreadsheets/d/1QqKyyYR6Q21VydFLVH3TRQUabQu_ym0Zz7PgGX0-kHA/edit?usp=sharing"",""แผน!EE59"")"),3)</f>
        <v>3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IFERROR(__xludf.DUMMYFUNCTION("IMPORTRANGE(""https://docs.google.com/spreadsheets/d/1MeEWN-I1oV_STSDYn1IFDPWt_1FKiwhDph83XaGc0o0/edit?usp=sharing"",""งบพรบ!EC59"")"),0)</f>
        <v>0</v>
      </c>
      <c r="M320" s="45">
        <f ca="1">IFERROR(__xludf.DUMMYFUNCTION("IMPORTRANGE(""https://docs.google.com/spreadsheets/d/1MeEWN-I1oV_STSDYn1IFDPWt_1FKiwhDph83XaGc0o0/edit?usp=sharing"",""งบพรบ!EH59"")"),0)</f>
        <v>0</v>
      </c>
      <c r="N320" s="45">
        <f ca="1">IFERROR(__xludf.DUMMYFUNCTION("IMPORTRANGE(""https://docs.google.com/spreadsheets/d/1MeEWN-I1oV_STSDYn1IFDPWt_1FKiwhDph83XaGc0o0/edit?usp=sharing"",""งบพรบ!EJ59"")"),0)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IFERROR(__xludf.DUMMYFUNCTION("IMPORTRANGE(""https://docs.google.com/spreadsheets/d/1MeEWN-I1oV_STSDYn1IFDPWt_1FKiwhDph83XaGc0o0/edit?usp=sharing"",""งบพรบ!EF59"")"),0)</f>
        <v>0</v>
      </c>
      <c r="M323" s="45">
        <f ca="1">IFERROR(__xludf.DUMMYFUNCTION("IMPORTRANGE(""https://docs.google.com/spreadsheets/d/1MeEWN-I1oV_STSDYn1IFDPWt_1FKiwhDph83XaGc0o0/edit?usp=sharing"",""งบพรบ!EI59"")"),0)</f>
        <v>0</v>
      </c>
      <c r="N323" s="45">
        <f ca="1">IFERROR(__xludf.DUMMYFUNCTION("IMPORTRANGE(""https://docs.google.com/spreadsheets/d/1MeEWN-I1oV_STSDYn1IFDPWt_1FKiwhDph83XaGc0o0/edit?usp=sharing"",""งบพรบ!EK59"")"),0)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IFERROR(__xludf.DUMMYFUNCTION("IMPORTRANGE(""https://docs.google.com/spreadsheets/d/1QqKyyYR6Q21VydFLVH3TRQUabQu_ym0Zz7PgGX0-kHA/edit?usp=sharing"",""แผน!EG59"")"),600)</f>
        <v>600</v>
      </c>
      <c r="J327" s="421">
        <f ca="1">J338+J341+J342+J343</f>
        <v>788</v>
      </c>
      <c r="K327" s="422">
        <f ca="1">IF(I327&gt;0,J327*100/I327,0)</f>
        <v>131.33333333333334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788200</v>
      </c>
      <c r="M328" s="154">
        <f t="shared" ca="1" si="149"/>
        <v>790700</v>
      </c>
      <c r="N328" s="154">
        <f t="shared" ca="1" si="149"/>
        <v>621471</v>
      </c>
      <c r="O328" s="154">
        <f t="shared" ref="O328:O336" ca="1" si="150">IF(L328&gt;0,N328*100/L328,0)</f>
        <v>78.846866277594515</v>
      </c>
      <c r="P328" s="154">
        <f t="shared" ref="P328:P336" ca="1" si="151">IF(M328&gt;0,N328*100/M328,0)</f>
        <v>78.597571771847726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788200</v>
      </c>
      <c r="M330" s="45">
        <f t="shared" ca="1" si="152"/>
        <v>790700</v>
      </c>
      <c r="N330" s="45">
        <f t="shared" ca="1" si="152"/>
        <v>621471</v>
      </c>
      <c r="O330" s="45">
        <f t="shared" ca="1" si="150"/>
        <v>78.846866277594515</v>
      </c>
      <c r="P330" s="45">
        <f t="shared" ca="1" si="151"/>
        <v>78.597571771847726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788200</v>
      </c>
      <c r="M331" s="38">
        <f t="shared" ca="1" si="153"/>
        <v>790700</v>
      </c>
      <c r="N331" s="38">
        <f t="shared" ca="1" si="153"/>
        <v>621471</v>
      </c>
      <c r="O331" s="38">
        <f t="shared" ca="1" si="150"/>
        <v>78.846866277594515</v>
      </c>
      <c r="P331" s="38">
        <f t="shared" ca="1" si="151"/>
        <v>78.597571771847726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IFERROR(__xludf.DUMMYFUNCTION("IMPORTRANGE(""https://docs.google.com/spreadsheets/d/1MeEWN-I1oV_STSDYn1IFDPWt_1FKiwhDph83XaGc0o0/edit?usp=sharing"",""งบพรบ!EM59"")"),788200)</f>
        <v>788200</v>
      </c>
      <c r="M333" s="45">
        <f ca="1">IFERROR(__xludf.DUMMYFUNCTION("IMPORTRANGE(""https://docs.google.com/spreadsheets/d/1MeEWN-I1oV_STSDYn1IFDPWt_1FKiwhDph83XaGc0o0/edit?usp=sharing"",""งบพรบ!ER59"")"),790700)</f>
        <v>790700</v>
      </c>
      <c r="N333" s="45">
        <f ca="1">IFERROR(__xludf.DUMMYFUNCTION("IMPORTRANGE(""https://docs.google.com/spreadsheets/d/1MeEWN-I1oV_STSDYn1IFDPWt_1FKiwhDph83XaGc0o0/edit?usp=sharing"",""งบพรบ!ET59"")"),621471)</f>
        <v>621471</v>
      </c>
      <c r="O333" s="45">
        <f t="shared" ca="1" si="150"/>
        <v>78.846866277594515</v>
      </c>
      <c r="P333" s="45">
        <f t="shared" ca="1" si="151"/>
        <v>78.597571771847726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IFERROR(__xludf.DUMMYFUNCTION("IMPORTRANGE(""https://docs.google.com/spreadsheets/d/1MeEWN-I1oV_STSDYn1IFDPWt_1FKiwhDph83XaGc0o0/edit?usp=sharing"",""งบพรบ!EP59"")"),0)</f>
        <v>0</v>
      </c>
      <c r="M336" s="45">
        <f ca="1">IFERROR(__xludf.DUMMYFUNCTION("IMPORTRANGE(""https://docs.google.com/spreadsheets/d/1MeEWN-I1oV_STSDYn1IFDPWt_1FKiwhDph83XaGc0o0/edit?usp=sharing"",""งบพรบ!ES59"")"),0)</f>
        <v>0</v>
      </c>
      <c r="N336" s="45">
        <f ca="1">IFERROR(__xludf.DUMMYFUNCTION("IMPORTRANGE(""https://docs.google.com/spreadsheets/d/1MeEWN-I1oV_STSDYn1IFDPWt_1FKiwhDph83XaGc0o0/edit?usp=sharing"",""งบพรบ!EU59"")"),0)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IFERROR(__xludf.DUMMYFUNCTION("IMPORTRANGE(""https://docs.google.com/spreadsheets/d/1QqKyyYR6Q21VydFLVH3TRQUabQu_ym0Zz7PgGX0-kHA/edit?usp=sharing"",""แผน!EG59"")"),600)</f>
        <v>600</v>
      </c>
      <c r="J338" s="37">
        <f ca="1">IFERROR(__xludf.DUMMYFUNCTION("IMPORTRANGE(""https://docs.google.com/spreadsheets/d/1kVcqe37tkHyjCSG3S0O1AXqVkqjo8mSIZil3BcpIysc/edit?usp=sharing"",""ศูนย์!D59"")"),755)</f>
        <v>755</v>
      </c>
      <c r="K338" s="38">
        <f ca="1">IF(I338&gt;0,J338*100/I338,0)</f>
        <v>125.83333333333333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IFERROR(__xludf.DUMMYFUNCTION("IMPORTRANGE(""https://docs.google.com/spreadsheets/d/1QqKyyYR6Q21VydFLVH3TRQUabQu_ym0Zz7PgGX0-kHA/edit?usp=sharing"",""แผน!EH59"")"),2)</f>
        <v>2</v>
      </c>
      <c r="J340" s="37">
        <f ca="1">IFERROR(__xludf.DUMMYFUNCTION("IMPORTRANGE(""https://docs.google.com/spreadsheets/d/1kVcqe37tkHyjCSG3S0O1AXqVkqjo8mSIZil3BcpIysc/edit?usp=sharing"",""ศูนย์!E59"")"),1)</f>
        <v>1</v>
      </c>
      <c r="K340" s="38">
        <f ca="1">IF(I340&gt;0,J340*100/I340,0)</f>
        <v>50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IFERROR(__xludf.DUMMYFUNCTION("IMPORTRANGE(""https://docs.google.com/spreadsheets/d/1kVcqe37tkHyjCSG3S0O1AXqVkqjo8mSIZil3BcpIysc/edit?usp=sharing"",""ศูนย์!F59"")"),33)</f>
        <v>33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IFERROR(__xludf.DUMMYFUNCTION("IMPORTRANGE(""https://docs.google.com/spreadsheets/d/1kVcqe37tkHyjCSG3S0O1AXqVkqjo8mSIZil3BcpIysc/edit?usp=sharing"",""ศูนย์!G59"")"),0)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IFERROR(__xludf.DUMMYFUNCTION("IMPORTRANGE(""https://docs.google.com/spreadsheets/d/1kVcqe37tkHyjCSG3S0O1AXqVkqjo8mSIZil3BcpIysc/edit?usp=sharing"",""ศูนย์!H59"")"),0)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374080</v>
      </c>
      <c r="M345" s="154">
        <f t="shared" ca="1" si="155"/>
        <v>404580</v>
      </c>
      <c r="N345" s="154">
        <f t="shared" ca="1" si="155"/>
        <v>312705</v>
      </c>
      <c r="O345" s="154">
        <f t="shared" ref="O345:O353" ca="1" si="156">IF(L345&gt;0,N345*100/L345,0)</f>
        <v>83.593081693755352</v>
      </c>
      <c r="P345" s="154">
        <f t="shared" ref="P345:P353" ca="1" si="157">IF(M345&gt;0,N345*100/M345,0)</f>
        <v>77.29126501557171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374080</v>
      </c>
      <c r="M347" s="45">
        <f t="shared" ca="1" si="158"/>
        <v>404580</v>
      </c>
      <c r="N347" s="45">
        <f t="shared" ca="1" si="158"/>
        <v>312705</v>
      </c>
      <c r="O347" s="45">
        <f t="shared" ca="1" si="156"/>
        <v>83.593081693755352</v>
      </c>
      <c r="P347" s="45">
        <f t="shared" ca="1" si="157"/>
        <v>77.29126501557171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200680</v>
      </c>
      <c r="M348" s="38">
        <f t="shared" ca="1" si="159"/>
        <v>231180</v>
      </c>
      <c r="N348" s="38">
        <f t="shared" ca="1" si="159"/>
        <v>139305</v>
      </c>
      <c r="O348" s="38">
        <f t="shared" ca="1" si="156"/>
        <v>69.416483954554508</v>
      </c>
      <c r="P348" s="38">
        <f t="shared" ca="1" si="157"/>
        <v>60.258240332208672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IFERROR(__xludf.DUMMYFUNCTION("IMPORTRANGE(""https://docs.google.com/spreadsheets/d/1MeEWN-I1oV_STSDYn1IFDPWt_1FKiwhDph83XaGc0o0/edit?usp=sharing"",""งบพรบ!EW59"")"),200680)</f>
        <v>200680</v>
      </c>
      <c r="M350" s="45">
        <f ca="1">IFERROR(__xludf.DUMMYFUNCTION("IMPORTRANGE(""https://docs.google.com/spreadsheets/d/1MeEWN-I1oV_STSDYn1IFDPWt_1FKiwhDph83XaGc0o0/edit?usp=sharing"",""งบพรบ!FB59"")"),231180)</f>
        <v>231180</v>
      </c>
      <c r="N350" s="45">
        <f ca="1">IFERROR(__xludf.DUMMYFUNCTION("IMPORTRANGE(""https://docs.google.com/spreadsheets/d/1MeEWN-I1oV_STSDYn1IFDPWt_1FKiwhDph83XaGc0o0/edit?usp=sharing"",""งบพรบ!FD59"")"),139305)</f>
        <v>139305</v>
      </c>
      <c r="O350" s="45">
        <f t="shared" ca="1" si="156"/>
        <v>69.416483954554508</v>
      </c>
      <c r="P350" s="45">
        <f t="shared" ca="1" si="157"/>
        <v>60.258240332208672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173400</v>
      </c>
      <c r="M351" s="38">
        <f t="shared" ca="1" si="160"/>
        <v>173400</v>
      </c>
      <c r="N351" s="38">
        <f t="shared" ca="1" si="160"/>
        <v>173400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IFERROR(__xludf.DUMMYFUNCTION("IMPORTRANGE(""https://docs.google.com/spreadsheets/d/1MeEWN-I1oV_STSDYn1IFDPWt_1FKiwhDph83XaGc0o0/edit?usp=sharing"",""งบพรบ!EZ59"")"),173400)</f>
        <v>173400</v>
      </c>
      <c r="M353" s="45">
        <f ca="1">IFERROR(__xludf.DUMMYFUNCTION("IMPORTRANGE(""https://docs.google.com/spreadsheets/d/1MeEWN-I1oV_STSDYn1IFDPWt_1FKiwhDph83XaGc0o0/edit?usp=sharing"",""งบพรบ!FC59"")"),173400)</f>
        <v>173400</v>
      </c>
      <c r="N353" s="45">
        <f ca="1">IFERROR(__xludf.DUMMYFUNCTION("IMPORTRANGE(""https://docs.google.com/spreadsheets/d/1MeEWN-I1oV_STSDYn1IFDPWt_1FKiwhDph83XaGc0o0/edit?usp=sharing"",""งบพรบ!FE59"")"),173400)</f>
        <v>173400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IFERROR(__xludf.DUMMYFUNCTION("IMPORTRANGE(""https://docs.google.com/spreadsheets/d/1QqKyyYR6Q21VydFLVH3TRQUabQu_ym0Zz7PgGX0-kHA/edit?usp=sharing"",""แผน!EP59"")"),0)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IFERROR(__xludf.DUMMYFUNCTION("IMPORTRANGE(""https://docs.google.com/spreadsheets/d/1XWAQStnk-4SwqDmLtmXYiTMKHgktTP8We1SCoS47DrQ/edit?usp=sharing"",""จัดที่ดิน!W59"")"),0)</f>
        <v>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IFERROR(__xludf.DUMMYFUNCTION("IMPORTRANGE(""https://docs.google.com/spreadsheets/d/1QqKyyYR6Q21VydFLVH3TRQUabQu_ym0Zz7PgGX0-kHA/edit?usp=sharing"",""แผน!EO59"")"),0)</f>
        <v>0</v>
      </c>
      <c r="J359" s="37">
        <f ca="1">IFERROR(__xludf.DUMMYFUNCTION("IMPORTRANGE(""https://docs.google.com/spreadsheets/d/1XWAQStnk-4SwqDmLtmXYiTMKHgktTP8We1SCoS47DrQ/edit?usp=sharing"",""จัดที่ดิน!X59"")"),0)</f>
        <v>0</v>
      </c>
      <c r="K359" s="38">
        <f t="shared" ca="1" si="161"/>
        <v>0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IFERROR(__xludf.DUMMYFUNCTION("IMPORTRANGE(""https://docs.google.com/spreadsheets/d/1QqKyyYR6Q21VydFLVH3TRQUabQu_ym0Zz7PgGX0-kHA/edit?usp=sharing"",""แผน!EP59"")"),0)</f>
        <v>0</v>
      </c>
      <c r="J360" s="37">
        <f ca="1">IFERROR(__xludf.DUMMYFUNCTION("IMPORTRANGE(""https://docs.google.com/spreadsheets/d/1XWAQStnk-4SwqDmLtmXYiTMKHgktTP8We1SCoS47DrQ/edit?usp=sharing"",""จัดที่ดิน!Y59"")"),0)</f>
        <v>0</v>
      </c>
      <c r="K360" s="38">
        <f t="shared" ca="1" si="161"/>
        <v>0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IFERROR(__xludf.DUMMYFUNCTION("IMPORTRANGE(""https://docs.google.com/spreadsheets/d/1XWAQStnk-4SwqDmLtmXYiTMKHgktTP8We1SCoS47DrQ/edit?usp=sharing"",""จัดที่ดิน!Z59"")"),0)</f>
        <v>0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IFERROR(__xludf.DUMMYFUNCTION("IMPORTRANGE(""https://docs.google.com/spreadsheets/d/1QqKyyYR6Q21VydFLVH3TRQUabQu_ym0Zz7PgGX0-kHA/edit?usp=sharing"",""แผน!EP59"")"),0)</f>
        <v>0</v>
      </c>
      <c r="J362" s="37">
        <f ca="1">IFERROR(__xludf.DUMMYFUNCTION("IMPORTRANGE(""https://docs.google.com/spreadsheets/d/1XWAQStnk-4SwqDmLtmXYiTMKHgktTP8We1SCoS47DrQ/edit?usp=sharing"",""จัดที่ดิน!AA59"")"),0)</f>
        <v>0</v>
      </c>
      <c r="K362" s="38">
        <f t="shared" ca="1" si="161"/>
        <v>0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IFERROR(__xludf.DUMMYFUNCTION("IMPORTRANGE(""https://docs.google.com/spreadsheets/d/1XWAQStnk-4SwqDmLtmXYiTMKHgktTP8We1SCoS47DrQ/edit?usp=sharing"",""จัดที่ดิน!AB59"")"),0)</f>
        <v>0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5</v>
      </c>
      <c r="J364" s="452">
        <f t="shared" ca="1" si="162"/>
        <v>1</v>
      </c>
      <c r="K364" s="453">
        <f t="shared" ca="1" si="161"/>
        <v>20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IFERROR(__xludf.DUMMYFUNCTION("IMPORTRANGE(""https://docs.google.com/spreadsheets/d/1QqKyyYR6Q21VydFLVH3TRQUabQu_ym0Zz7PgGX0-kHA/edit?usp=sharing"",""แผน!EJ59"")"),0)</f>
        <v>0</v>
      </c>
      <c r="J365" s="462">
        <f ca="1">J372</f>
        <v>0</v>
      </c>
      <c r="K365" s="463">
        <f t="shared" ca="1" si="161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IFERROR(__xludf.DUMMYFUNCTION("IMPORTRANGE(""https://docs.google.com/spreadsheets/d/1XWAQStnk-4SwqDmLtmXYiTMKHgktTP8We1SCoS47DrQ/edit?usp=sharing"",""จัดที่ดิน!E59"")"),0)</f>
        <v>0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IFERROR(__xludf.DUMMYFUNCTION("IMPORTRANGE(""https://docs.google.com/spreadsheets/d/1QqKyyYR6Q21VydFLVH3TRQUabQu_ym0Zz7PgGX0-kHA/edit?usp=sharing"",""แผน!EI59"")"),0)</f>
        <v>0</v>
      </c>
      <c r="J369" s="37">
        <f ca="1">IFERROR(__xludf.DUMMYFUNCTION("IMPORTRANGE(""https://docs.google.com/spreadsheets/d/1XWAQStnk-4SwqDmLtmXYiTMKHgktTP8We1SCoS47DrQ/edit?usp=sharing"",""จัดที่ดิน!F59"")"),0)</f>
        <v>0</v>
      </c>
      <c r="K369" s="38">
        <f t="shared" ca="1" si="163"/>
        <v>0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IFERROR(__xludf.DUMMYFUNCTION("IMPORTRANGE(""https://docs.google.com/spreadsheets/d/1QqKyyYR6Q21VydFLVH3TRQUabQu_ym0Zz7PgGX0-kHA/edit?usp=sharing"",""แผน!EJ59"")"),0)</f>
        <v>0</v>
      </c>
      <c r="J370" s="37">
        <f ca="1">IFERROR(__xludf.DUMMYFUNCTION("IMPORTRANGE(""https://docs.google.com/spreadsheets/d/1XWAQStnk-4SwqDmLtmXYiTMKHgktTP8We1SCoS47DrQ/edit?usp=sharing"",""จัดที่ดิน!G59"")"),0)</f>
        <v>0</v>
      </c>
      <c r="K370" s="38">
        <f t="shared" ca="1" si="163"/>
        <v>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IFERROR(__xludf.DUMMYFUNCTION("IMPORTRANGE(""https://docs.google.com/spreadsheets/d/1XWAQStnk-4SwqDmLtmXYiTMKHgktTP8We1SCoS47DrQ/edit?usp=sharing"",""จัดที่ดิน!H59"")"),0)</f>
        <v>0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IFERROR(__xludf.DUMMYFUNCTION("IMPORTRANGE(""https://docs.google.com/spreadsheets/d/1QqKyyYR6Q21VydFLVH3TRQUabQu_ym0Zz7PgGX0-kHA/edit?usp=sharing"",""แผน!EJ59"")"),0)</f>
        <v>0</v>
      </c>
      <c r="J372" s="37">
        <f ca="1">IFERROR(__xludf.DUMMYFUNCTION("IMPORTRANGE(""https://docs.google.com/spreadsheets/d/1XWAQStnk-4SwqDmLtmXYiTMKHgktTP8We1SCoS47DrQ/edit?usp=sharing"",""จัดที่ดิน!I59"")"),0)</f>
        <v>0</v>
      </c>
      <c r="K372" s="38">
        <f t="shared" ca="1" si="163"/>
        <v>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IFERROR(__xludf.DUMMYFUNCTION("IMPORTRANGE(""https://docs.google.com/spreadsheets/d/1XWAQStnk-4SwqDmLtmXYiTMKHgktTP8We1SCoS47DrQ/edit?usp=sharing"",""จัดที่ดิน!J59"")"),0)</f>
        <v>0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IFERROR(__xludf.DUMMYFUNCTION("IMPORTRANGE(""https://docs.google.com/spreadsheets/d/1QqKyyYR6Q21VydFLVH3TRQUabQu_ym0Zz7PgGX0-kHA/edit?usp=sharing"",""แผน!EU59"")"),5)</f>
        <v>5</v>
      </c>
      <c r="J374" s="462">
        <f ca="1">J381</f>
        <v>1</v>
      </c>
      <c r="K374" s="463">
        <f t="shared" ca="1" si="163"/>
        <v>20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IFERROR(__xludf.DUMMYFUNCTION("IMPORTRANGE(""https://docs.google.com/spreadsheets/d/1XWAQStnk-4SwqDmLtmXYiTMKHgktTP8We1SCoS47DrQ/edit?usp=sharing"",""จัดที่ดิน!AH59"")"),0)</f>
        <v>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IFERROR(__xludf.DUMMYFUNCTION("IMPORTRANGE(""https://docs.google.com/spreadsheets/d/1QqKyyYR6Q21VydFLVH3TRQUabQu_ym0Zz7PgGX0-kHA/edit?usp=sharing"",""แผน!ET59"")"),0)</f>
        <v>0</v>
      </c>
      <c r="J378" s="37">
        <f ca="1">IFERROR(__xludf.DUMMYFUNCTION("IMPORTRANGE(""https://docs.google.com/spreadsheets/d/1XWAQStnk-4SwqDmLtmXYiTMKHgktTP8We1SCoS47DrQ/edit?usp=sharing"",""จัดที่ดิน!AI59"")"),0)</f>
        <v>0</v>
      </c>
      <c r="K378" s="38">
        <f t="shared" ca="1" si="164"/>
        <v>0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IFERROR(__xludf.DUMMYFUNCTION("IMPORTRANGE(""https://docs.google.com/spreadsheets/d/1QqKyyYR6Q21VydFLVH3TRQUabQu_ym0Zz7PgGX0-kHA/edit?usp=sharing"",""แผน!EU59"")"),5)</f>
        <v>5</v>
      </c>
      <c r="J379" s="37">
        <f ca="1">IFERROR(__xludf.DUMMYFUNCTION("IMPORTRANGE(""https://docs.google.com/spreadsheets/d/1XWAQStnk-4SwqDmLtmXYiTMKHgktTP8We1SCoS47DrQ/edit?usp=sharing"",""จัดที่ดิน!AJ59"")"),4)</f>
        <v>4</v>
      </c>
      <c r="K379" s="38">
        <f t="shared" ca="1" si="164"/>
        <v>80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IFERROR(__xludf.DUMMYFUNCTION("IMPORTRANGE(""https://docs.google.com/spreadsheets/d/1XWAQStnk-4SwqDmLtmXYiTMKHgktTP8We1SCoS47DrQ/edit?usp=sharing"",""จัดที่ดิน!AK59"")"),65.81)</f>
        <v>65.81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IFERROR(__xludf.DUMMYFUNCTION("IMPORTRANGE(""https://docs.google.com/spreadsheets/d/1QqKyyYR6Q21VydFLVH3TRQUabQu_ym0Zz7PgGX0-kHA/edit?usp=sharing"",""แผน!EU59"")"),5)</f>
        <v>5</v>
      </c>
      <c r="J381" s="37">
        <f ca="1">IFERROR(__xludf.DUMMYFUNCTION("IMPORTRANGE(""https://docs.google.com/spreadsheets/d/1XWAQStnk-4SwqDmLtmXYiTMKHgktTP8We1SCoS47DrQ/edit?usp=sharing"",""จัดที่ดิน!AL59"")"),1)</f>
        <v>1</v>
      </c>
      <c r="K381" s="38">
        <f t="shared" ca="1" si="164"/>
        <v>20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IFERROR(__xludf.DUMMYFUNCTION("IMPORTRANGE(""https://docs.google.com/spreadsheets/d/1XWAQStnk-4SwqDmLtmXYiTMKHgktTP8We1SCoS47DrQ/edit?usp=sharing"",""จัดที่ดิน!AM59"")"),5)</f>
        <v>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811" t="s">
        <v>170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0" t="s">
        <v>171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IFERROR(__xludf.DUMMYFUNCTION("IMPORTRANGE(""https://docs.google.com/spreadsheets/d/1QqKyyYR6Q21VydFLVH3TRQUabQu_ym0Zz7PgGX0-kHA/edit?usp=sharing"",""แผน!EW59"")"),5)</f>
        <v>5</v>
      </c>
      <c r="J385" s="365">
        <f ca="1">IFERROR(__xludf.DUMMYFUNCTION("IMPORTRANGE(""https://docs.google.com/spreadsheets/d/1XWAQStnk-4SwqDmLtmXYiTMKHgktTP8We1SCoS47DrQ/edit?usp=sharing"",""จัดที่ดิน!AP59"")"),0)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IFERROR(__xludf.DUMMYFUNCTION("IMPORTRANGE(""https://docs.google.com/spreadsheets/d/1MeEWN-I1oV_STSDYn1IFDPWt_1FKiwhDph83XaGc0o0/edit?usp=sharing"",""งบพรบ!FG59"")"),0)</f>
        <v>0</v>
      </c>
      <c r="M394" s="45">
        <f ca="1">IFERROR(__xludf.DUMMYFUNCTION("IMPORTRANGE(""https://docs.google.com/spreadsheets/d/1MeEWN-I1oV_STSDYn1IFDPWt_1FKiwhDph83XaGc0o0/edit?usp=sharing"",""งบพรบ!FL59"")"),0)</f>
        <v>0</v>
      </c>
      <c r="N394" s="45">
        <f ca="1">IFERROR(__xludf.DUMMYFUNCTION("IMPORTRANGE(""https://docs.google.com/spreadsheets/d/1MeEWN-I1oV_STSDYn1IFDPWt_1FKiwhDph83XaGc0o0/edit?usp=sharing"",""งบพรบ!FN59"")"),0)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IFERROR(__xludf.DUMMYFUNCTION("IMPORTRANGE(""https://docs.google.com/spreadsheets/d/1MeEWN-I1oV_STSDYn1IFDPWt_1FKiwhDph83XaGc0o0/edit?usp=sharing"",""งบพรบ!FJ59"")"),0)</f>
        <v>0</v>
      </c>
      <c r="M397" s="45">
        <f ca="1">IFERROR(__xludf.DUMMYFUNCTION("IMPORTRANGE(""https://docs.google.com/spreadsheets/d/1MeEWN-I1oV_STSDYn1IFDPWt_1FKiwhDph83XaGc0o0/edit?usp=sharing"",""งบพรบ!FM59"")"),0)</f>
        <v>0</v>
      </c>
      <c r="N397" s="45">
        <f ca="1">IFERROR(__xludf.DUMMYFUNCTION("IMPORTRANGE(""https://docs.google.com/spreadsheets/d/1MeEWN-I1oV_STSDYn1IFDPWt_1FKiwhDph83XaGc0o0/edit?usp=sharing"",""งบพรบ!FO59"")"),0)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IFERROR(__xludf.DUMMYFUNCTION("IMPORTRANGE(""https://docs.google.com/spreadsheets/d/1MeEWN-I1oV_STSDYn1IFDPWt_1FKiwhDph83XaGc0o0/edit?usp=sharing"",""งบพรบ!FQ59"")"),0)</f>
        <v>0</v>
      </c>
      <c r="M407" s="45">
        <f ca="1">IFERROR(__xludf.DUMMYFUNCTION("IMPORTRANGE(""https://docs.google.com/spreadsheets/d/1MeEWN-I1oV_STSDYn1IFDPWt_1FKiwhDph83XaGc0o0/edit?usp=sharing"",""งบพรบ!FV59"")"),0)</f>
        <v>0</v>
      </c>
      <c r="N407" s="45">
        <f ca="1">IFERROR(__xludf.DUMMYFUNCTION("IMPORTRANGE(""https://docs.google.com/spreadsheets/d/1MeEWN-I1oV_STSDYn1IFDPWt_1FKiwhDph83XaGc0o0/edit?usp=sharing"",""งบพรบ!FX59"")"),0)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IFERROR(__xludf.DUMMYFUNCTION("IMPORTRANGE(""https://docs.google.com/spreadsheets/d/1MeEWN-I1oV_STSDYn1IFDPWt_1FKiwhDph83XaGc0o0/edit?usp=sharing"",""งบพรบ!FT59"")"),0)</f>
        <v>0</v>
      </c>
      <c r="M410" s="45">
        <f ca="1">IFERROR(__xludf.DUMMYFUNCTION("IMPORTRANGE(""https://docs.google.com/spreadsheets/d/1MeEWN-I1oV_STSDYn1IFDPWt_1FKiwhDph83XaGc0o0/edit?usp=sharing"",""งบพรบ!FW59"")"),0)</f>
        <v>0</v>
      </c>
      <c r="N410" s="45">
        <f ca="1">IFERROR(__xludf.DUMMYFUNCTION("IMPORTRANGE(""https://docs.google.com/spreadsheets/d/1MeEWN-I1oV_STSDYn1IFDPWt_1FKiwhDph83XaGc0o0/edit?usp=sharing"",""งบพรบ!FY59"")"),0)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523510</v>
      </c>
      <c r="M414" s="518">
        <f t="shared" ca="1" si="181"/>
        <v>523510</v>
      </c>
      <c r="N414" s="518">
        <f t="shared" si="181"/>
        <v>362309</v>
      </c>
      <c r="O414" s="518">
        <f ca="1">IF(L414&gt;0,N414*100/L414,0)</f>
        <v>69.207656014211764</v>
      </c>
      <c r="P414" s="518">
        <f ca="1">IF(M414&gt;0,N414*100/M414,0)</f>
        <v>69.207656014211764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90</v>
      </c>
      <c r="J417" s="533">
        <f t="shared" ca="1" si="182"/>
        <v>90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271030</v>
      </c>
      <c r="M419" s="154">
        <f t="shared" ca="1" si="184"/>
        <v>271030</v>
      </c>
      <c r="N419" s="154">
        <f t="shared" si="184"/>
        <v>220390</v>
      </c>
      <c r="O419" s="154">
        <f t="shared" ref="O419:O424" ca="1" si="185">IF(L419&gt;0,N419*100/L419,0)</f>
        <v>81.315721506844255</v>
      </c>
      <c r="P419" s="154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271030</v>
      </c>
      <c r="M421" s="45">
        <f t="shared" ca="1" si="187"/>
        <v>271030</v>
      </c>
      <c r="N421" s="45">
        <f t="shared" si="187"/>
        <v>220390</v>
      </c>
      <c r="O421" s="45">
        <f t="shared" ca="1" si="185"/>
        <v>81.315721506844255</v>
      </c>
      <c r="P421" s="45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271030</v>
      </c>
      <c r="M422" s="38">
        <f t="shared" ca="1" si="188"/>
        <v>271030</v>
      </c>
      <c r="N422" s="38">
        <f t="shared" si="188"/>
        <v>220390</v>
      </c>
      <c r="O422" s="38">
        <f t="shared" ca="1" si="185"/>
        <v>81.315721506844255</v>
      </c>
      <c r="P422" s="38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IFERROR(__xludf.DUMMYFUNCTION("IMPORTRANGE(""https://docs.google.com/spreadsheets/d/1QqKyyYR6Q21VydFLVH3TRQUabQu_ym0Zz7PgGX0-kHA/edit?usp=sharing"",""แผน!EY59"")"),271030)</f>
        <v>271030</v>
      </c>
      <c r="M424" s="45">
        <f ca="1">L424</f>
        <v>271030</v>
      </c>
      <c r="N424" s="45">
        <f>N425+N426+N427+N428</f>
        <v>220390</v>
      </c>
      <c r="O424" s="45">
        <f t="shared" ca="1" si="185"/>
        <v>81.315721506844255</v>
      </c>
      <c r="P424" s="45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220390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90</v>
      </c>
      <c r="J433" s="190">
        <f ca="1">IF(AND(J435=I435,J437=I437,J439=I439),I437+I439,IF(AND(J435=I437,J437=I437),I437,IF(AND(J435=I439,J439=I439),I439,0)))</f>
        <v>90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IFERROR(__xludf.DUMMYFUNCTION("IMPORTRANGE(""https://docs.google.com/spreadsheets/d/1QqKyyYR6Q21VydFLVH3TRQUabQu_ym0Zz7PgGX0-kHA/edit?usp=sharing"",""แผน!FC59"")"),90)</f>
        <v>90</v>
      </c>
      <c r="J435" s="546">
        <v>90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IFERROR(__xludf.DUMMYFUNCTION("IMPORTRANGE(""https://docs.google.com/spreadsheets/d/1QqKyyYR6Q21VydFLVH3TRQUabQu_ym0Zz7PgGX0-kHA/edit?usp=sharing"",""แผน!FD59"")"),70)</f>
        <v>70</v>
      </c>
      <c r="J437" s="546">
        <v>70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IFERROR(__xludf.DUMMYFUNCTION("IMPORTRANGE(""https://docs.google.com/spreadsheets/d/1QqKyyYR6Q21VydFLVH3TRQUabQu_ym0Zz7PgGX0-kHA/edit?usp=sharing"",""แผน!FE59"")"),1)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IFERROR(__xludf.DUMMYFUNCTION("IMPORTRANGE(""https://docs.google.com/spreadsheets/d/1QqKyyYR6Q21VydFLVH3TRQUabQu_ym0Zz7PgGX0-kHA/edit?usp=sharing"",""แผน!FF59"")"),20)</f>
        <v>20</v>
      </c>
      <c r="J439" s="54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5">I460</f>
        <v>10</v>
      </c>
      <c r="J442" s="552">
        <f t="shared" si="195"/>
        <v>10</v>
      </c>
      <c r="K442" s="553">
        <f t="shared" ca="1" si="194"/>
        <v>100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6">I462</f>
        <v>20</v>
      </c>
      <c r="J443" s="533">
        <f t="shared" si="196"/>
        <v>20</v>
      </c>
      <c r="K443" s="534">
        <f t="shared" ca="1" si="194"/>
        <v>100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7">L445+L446</f>
        <v>70060</v>
      </c>
      <c r="M444" s="191">
        <f t="shared" ca="1" si="197"/>
        <v>70060</v>
      </c>
      <c r="N444" s="191">
        <f t="shared" si="197"/>
        <v>54845</v>
      </c>
      <c r="O444" s="191">
        <f t="shared" ref="O444:O449" ca="1" si="198">IF(L444&gt;0,N444*100/L444,0)</f>
        <v>78.282900371110472</v>
      </c>
      <c r="P444" s="191">
        <f t="shared" ref="P444:P449" ca="1" si="199">IF(M444&gt;0,N444*100/M444,0)</f>
        <v>78.282900371110472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200"/>
        <v>70060</v>
      </c>
      <c r="M446" s="45">
        <f t="shared" ca="1" si="200"/>
        <v>70060</v>
      </c>
      <c r="N446" s="45">
        <f t="shared" si="200"/>
        <v>54845</v>
      </c>
      <c r="O446" s="45">
        <f t="shared" ca="1" si="198"/>
        <v>78.282900371110472</v>
      </c>
      <c r="P446" s="45">
        <f t="shared" ca="1" si="199"/>
        <v>78.282900371110472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70060</v>
      </c>
      <c r="M447" s="38">
        <f t="shared" ca="1" si="201"/>
        <v>70060</v>
      </c>
      <c r="N447" s="38">
        <f t="shared" si="201"/>
        <v>54845</v>
      </c>
      <c r="O447" s="38">
        <f t="shared" ca="1" si="198"/>
        <v>78.282900371110472</v>
      </c>
      <c r="P447" s="38">
        <f t="shared" ca="1" si="199"/>
        <v>78.282900371110472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IFERROR(__xludf.DUMMYFUNCTION("IMPORTRANGE(""https://docs.google.com/spreadsheets/d/1QqKyyYR6Q21VydFLVH3TRQUabQu_ym0Zz7PgGX0-kHA/edit?usp=sharing"",""แผน!FJ59"")"),70060)</f>
        <v>70060</v>
      </c>
      <c r="M449" s="45">
        <f ca="1">L449</f>
        <v>70060</v>
      </c>
      <c r="N449" s="45">
        <f>N450+N451+N452+N453</f>
        <v>54845</v>
      </c>
      <c r="O449" s="45">
        <f t="shared" ca="1" si="198"/>
        <v>78.282900371110472</v>
      </c>
      <c r="P449" s="45">
        <f t="shared" ca="1" si="199"/>
        <v>78.282900371110472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17500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26000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11345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IFERROR(__xludf.DUMMYFUNCTION("IMPORTRANGE(""https://docs.google.com/spreadsheets/d/1QqKyyYR6Q21VydFLVH3TRQUabQu_ym0Zz7PgGX0-kHA/edit?usp=sharing"",""แผน!FN59"")"),10)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IFERROR(__xludf.DUMMYFUNCTION("IMPORTRANGE(""https://docs.google.com/spreadsheets/d/1QqKyyYR6Q21VydFLVH3TRQUabQu_ym0Zz7PgGX0-kHA/edit?usp=sharing"",""แผน!FO59"")"),20)</f>
        <v>20</v>
      </c>
      <c r="J462" s="181">
        <v>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IFERROR(__xludf.DUMMYFUNCTION("IMPORTRANGE(""https://docs.google.com/spreadsheets/d/1QqKyyYR6Q21VydFLVH3TRQUabQu_ym0Zz7PgGX0-kHA/edit?usp=sharing"",""แผน!FO59"")"),20)</f>
        <v>20</v>
      </c>
      <c r="J463" s="181">
        <v>20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IFERROR(__xludf.DUMMYFUNCTION("IMPORTRANGE(""https://docs.google.com/spreadsheets/d/1QqKyyYR6Q21VydFLVH3TRQUabQu_ym0Zz7PgGX0-kHA/edit?usp=sharing"",""แผน!FN59"")"),10)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IFERROR(__xludf.DUMMYFUNCTION("IMPORTRANGE(""https://docs.google.com/spreadsheets/d/1QqKyyYR6Q21VydFLVH3TRQUabQu_ym0Zz7PgGX0-kHA/edit?usp=sharing"",""แผน!FX59"")"),0)</f>
        <v>0</v>
      </c>
      <c r="J465" s="552">
        <f>J485+J489+J492</f>
        <v>0</v>
      </c>
      <c r="K465" s="553">
        <f t="shared" ref="K465:K466" ca="1" si="205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IFERROR(__xludf.DUMMYFUNCTION("IMPORTRANGE(""https://docs.google.com/spreadsheets/d/1QqKyyYR6Q21VydFLVH3TRQUabQu_ym0Zz7PgGX0-kHA/edit?usp=sharing"",""แผน!FW59"")"),0)</f>
        <v>0</v>
      </c>
      <c r="J466" s="533">
        <f>J483+J487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6">L468+L469</f>
        <v>0</v>
      </c>
      <c r="M467" s="191">
        <f t="shared" si="206"/>
        <v>0</v>
      </c>
      <c r="N467" s="191">
        <f t="shared" si="206"/>
        <v>0</v>
      </c>
      <c r="O467" s="191">
        <f t="shared" ref="O467:O472" ca="1" si="207">IF(L467&gt;0,N467*100/L467,0)</f>
        <v>0</v>
      </c>
      <c r="P467" s="191">
        <f t="shared" ref="P467:P472" si="208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9"/>
        <v>0</v>
      </c>
      <c r="M469" s="45">
        <f t="shared" si="209"/>
        <v>0</v>
      </c>
      <c r="N469" s="45">
        <f t="shared" si="209"/>
        <v>0</v>
      </c>
      <c r="O469" s="45">
        <f t="shared" ca="1" si="207"/>
        <v>0</v>
      </c>
      <c r="P469" s="45">
        <f t="shared" si="208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0</v>
      </c>
      <c r="M470" s="38">
        <f t="shared" si="210"/>
        <v>0</v>
      </c>
      <c r="N470" s="38">
        <f t="shared" si="210"/>
        <v>0</v>
      </c>
      <c r="O470" s="38">
        <f t="shared" ca="1" si="207"/>
        <v>0</v>
      </c>
      <c r="P470" s="38">
        <f t="shared" si="208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IFERROR(__xludf.DUMMYFUNCTION("IMPORTRANGE(""https://docs.google.com/spreadsheets/d/1QqKyyYR6Q21VydFLVH3TRQUabQu_ym0Zz7PgGX0-kHA/edit?usp=sharing"",""แผน!FS59"")"),0)</f>
        <v>0</v>
      </c>
      <c r="M472" s="45">
        <v>0</v>
      </c>
      <c r="N472" s="45">
        <f>N473+N474+N475+N476</f>
        <v>0</v>
      </c>
      <c r="O472" s="45">
        <f t="shared" ca="1" si="207"/>
        <v>0</v>
      </c>
      <c r="P472" s="45">
        <f t="shared" si="208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IFERROR(__xludf.DUMMYFUNCTION("IMPORTRANGE(""https://docs.google.com/spreadsheets/d/1QqKyyYR6Q21VydFLVH3TRQUabQu_ym0Zz7PgGX0-kHA/edit?usp=sharing"",""แผน!FY59"")"),0)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IFERROR(__xludf.DUMMYFUNCTION("IMPORTRANGE(""https://docs.google.com/spreadsheets/d/1QqKyyYR6Q21VydFLVH3TRQUabQu_ym0Zz7PgGX0-kHA/edit?usp=sharing"",""แผน!FZ59"")"),0)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IFERROR(__xludf.DUMMYFUNCTION("IMPORTRANGE(""https://docs.google.com/spreadsheets/d/1QqKyyYR6Q21VydFLVH3TRQUabQu_ym0Zz7PgGX0-kHA/edit?usp=sharing"",""แผน!GA59"")"),0)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IFERROR(__xludf.DUMMYFUNCTION("IMPORTRANGE(""https://docs.google.com/spreadsheets/d/1QqKyyYR6Q21VydFLVH3TRQUabQu_ym0Zz7PgGX0-kHA/edit?usp=sharing"",""แผน!GB59"")"),0)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IFERROR(__xludf.DUMMYFUNCTION("IMPORTRANGE(""https://docs.google.com/spreadsheets/d/1QqKyyYR6Q21VydFLVH3TRQUabQu_ym0Zz7PgGX0-kHA/edit?usp=sharing"",""แผน!GC59"")"),0)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IFERROR(__xludf.DUMMYFUNCTION("IMPORTRANGE(""https://docs.google.com/spreadsheets/d/1QqKyyYR6Q21VydFLVH3TRQUabQu_ym0Zz7PgGX0-kHA/edit?usp=sharing"",""แผน!FY59"")"),0)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IFERROR(__xludf.DUMMYFUNCTION("IMPORTRANGE(""https://docs.google.com/spreadsheets/d/1QqKyyYR6Q21VydFLVH3TRQUabQu_ym0Zz7PgGX0-kHA/edit?usp=sharing"",""แผน!GA59"")"),0)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4">J516</f>
        <v>0</v>
      </c>
      <c r="K500" s="586">
        <f t="shared" ref="K500:K501" si="215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4"/>
        <v>0</v>
      </c>
      <c r="K501" s="594">
        <f t="shared" si="215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6">L503+L504</f>
        <v>0</v>
      </c>
      <c r="M502" s="598">
        <f t="shared" si="216"/>
        <v>0</v>
      </c>
      <c r="N502" s="598">
        <f t="shared" si="216"/>
        <v>0</v>
      </c>
      <c r="O502" s="598">
        <f t="shared" ref="O502:O507" si="217">IF(L502&gt;0,N502*100/L502,0)</f>
        <v>0</v>
      </c>
      <c r="P502" s="598">
        <f t="shared" ref="P502:P507" si="218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4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5">I537</f>
        <v>0</v>
      </c>
      <c r="J522" s="627">
        <f t="shared" ca="1" si="225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IFERROR(__xludf.DUMMYFUNCTION("IMPORTRANGE(""https://docs.google.com/spreadsheets/d/1QqKyyYR6Q21VydFLVH3TRQUabQu_ym0Zz7PgGX0-kHA/edit?usp=sharing"",""แผน!GQ59"")"),0)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IFERROR(__xludf.DUMMYFUNCTION("IMPORTRANGE(""https://docs.google.com/spreadsheets/d/1QqKyyYR6Q21VydFLVH3TRQUabQu_ym0Zz7PgGX0-kHA/edit?usp=sharing"",""แผน!GU59"")"),0)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IFERROR(__xludf.DUMMYFUNCTION("IMPORTRANGE(""https://docs.google.com/spreadsheets/d/1QqKyyYR6Q21VydFLVH3TRQUabQu_ym0Zz7PgGX0-kHA/edit?usp=sharing"",""แผน!GV59"")"),0)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IFERROR(__xludf.DUMMYFUNCTION("IMPORTRANGE(""https://docs.google.com/spreadsheets/d/1QqKyyYR6Q21VydFLVH3TRQUabQu_ym0Zz7PgGX0-kHA/edit?usp=sharing"",""แผน!GY59"")"),0)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IFERROR(__xludf.DUMMYFUNCTION("IMPORTRANGE(""https://docs.google.com/spreadsheets/d/1QqKyyYR6Q21VydFLVH3TRQUabQu_ym0Zz7PgGX0-kHA/edit?usp=sharing"",""แผน!GZ59"")"),0)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5">I559</f>
        <v>0</v>
      </c>
      <c r="J543" s="635">
        <f t="shared" si="235"/>
        <v>0</v>
      </c>
      <c r="K543" s="636">
        <f t="shared" ca="1" si="234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6">L545+L546</f>
        <v>120300</v>
      </c>
      <c r="M544" s="154">
        <f t="shared" ca="1" si="236"/>
        <v>120300</v>
      </c>
      <c r="N544" s="154">
        <f t="shared" si="236"/>
        <v>80654</v>
      </c>
      <c r="O544" s="154">
        <f t="shared" ref="O544:O549" ca="1" si="237">IF(L544&gt;0,N544*100/L544,0)</f>
        <v>67.044056525353284</v>
      </c>
      <c r="P544" s="154">
        <f t="shared" ref="P544:P549" ca="1" si="238">IF(M544&gt;0,N544*100/M544,0)</f>
        <v>67.044056525353284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9"/>
        <v>120300</v>
      </c>
      <c r="M546" s="45">
        <f t="shared" ca="1" si="240"/>
        <v>120300</v>
      </c>
      <c r="N546" s="45">
        <f t="shared" si="240"/>
        <v>80654</v>
      </c>
      <c r="O546" s="45">
        <f t="shared" ca="1" si="237"/>
        <v>67.044056525353284</v>
      </c>
      <c r="P546" s="45">
        <f t="shared" ca="1" si="238"/>
        <v>67.044056525353284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120300</v>
      </c>
      <c r="M547" s="38">
        <f t="shared" ca="1" si="241"/>
        <v>120300</v>
      </c>
      <c r="N547" s="38">
        <f t="shared" si="241"/>
        <v>80654</v>
      </c>
      <c r="O547" s="38">
        <f t="shared" ca="1" si="237"/>
        <v>67.044056525353284</v>
      </c>
      <c r="P547" s="38">
        <f t="shared" ca="1" si="238"/>
        <v>67.044056525353284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IFERROR(__xludf.DUMMYFUNCTION("IMPORTRANGE(""https://docs.google.com/spreadsheets/d/1QqKyyYR6Q21VydFLVH3TRQUabQu_ym0Zz7PgGX0-kHA/edit?usp=sharing"",""แผน!HB59"")"),120300)</f>
        <v>120300</v>
      </c>
      <c r="M549" s="45">
        <f ca="1">L549</f>
        <v>120300</v>
      </c>
      <c r="N549" s="45">
        <f>N550+N551+N552+N553+N554</f>
        <v>80654</v>
      </c>
      <c r="O549" s="45">
        <f t="shared" ca="1" si="237"/>
        <v>67.044056525353284</v>
      </c>
      <c r="P549" s="45">
        <f t="shared" ca="1" si="238"/>
        <v>67.044056525353284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80654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5">I576</f>
        <v>0</v>
      </c>
      <c r="J559" s="627">
        <f t="shared" si="245"/>
        <v>0</v>
      </c>
      <c r="K559" s="628">
        <f t="shared" ref="K559:K561" ca="1" si="246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IFERROR(__xludf.DUMMYFUNCTION("IMPORTRANGE(""https://docs.google.com/spreadsheets/d/1QqKyyYR6Q21VydFLVH3TRQUabQu_ym0Zz7PgGX0-kHA/edit?usp=sharing"",""แผน!HH59"")"),0)</f>
        <v>0</v>
      </c>
      <c r="J560" s="189">
        <f t="shared" ref="J560:J561" si="247">J562+J564+J566</f>
        <v>0</v>
      </c>
      <c r="K560" s="390">
        <f t="shared" ca="1" si="246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IFERROR(__xludf.DUMMYFUNCTION("IMPORTRANGE(""https://docs.google.com/spreadsheets/d/1QqKyyYR6Q21VydFLVH3TRQUabQu_ym0Zz7PgGX0-kHA/edit?usp=sharing"",""แผน!HG59"")"),0)</f>
        <v>0</v>
      </c>
      <c r="J561" s="189">
        <f t="shared" si="247"/>
        <v>0</v>
      </c>
      <c r="K561" s="390">
        <f t="shared" ca="1" si="246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IFERROR(__xludf.DUMMYFUNCTION("IMPORTRANGE(""https://docs.google.com/spreadsheets/d/1QqKyyYR6Q21VydFLVH3TRQUabQu_ym0Zz7PgGX0-kHA/edit?usp=sharing"",""แผน!HH59"")"),0)</f>
        <v>0</v>
      </c>
      <c r="J568" s="190">
        <f t="shared" ref="J568:J569" si="248">J570+J572+J574</f>
        <v>0</v>
      </c>
      <c r="K568" s="390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IFERROR(__xludf.DUMMYFUNCTION("IMPORTRANGE(""https://docs.google.com/spreadsheets/d/1QqKyyYR6Q21VydFLVH3TRQUabQu_ym0Zz7PgGX0-kHA/edit?usp=sharing"",""แผน!HG59"")"),0)</f>
        <v>0</v>
      </c>
      <c r="J569" s="190">
        <f t="shared" si="248"/>
        <v>0</v>
      </c>
      <c r="K569" s="390">
        <f t="shared" ca="1" si="249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IFERROR(__xludf.DUMMYFUNCTION("IMPORTRANGE(""https://docs.google.com/spreadsheets/d/1QqKyyYR6Q21VydFLVH3TRQUabQu_ym0Zz7PgGX0-kHA/edit?usp=sharing"",""แผน!HH59"")"),0)</f>
        <v>0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IFERROR(__xludf.DUMMYFUNCTION("IMPORTRANGE(""https://docs.google.com/spreadsheets/d/1QqKyyYR6Q21VydFLVH3TRQUabQu_ym0Zz7PgGX0-kHA/edit?usp=sharing"",""แผน!HG59"")"),0)</f>
        <v>0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3">I593</f>
        <v>3540.25</v>
      </c>
      <c r="J592" s="627">
        <f t="shared" si="253"/>
        <v>2163.3775000000001</v>
      </c>
      <c r="K592" s="628">
        <f t="shared" ref="K592:K594" ca="1" si="254">IF(I592&gt;0,J592*100/I592,0)</f>
        <v>61.108043217286912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IFERROR(__xludf.DUMMYFUNCTION("IMPORTRANGE(""https://docs.google.com/spreadsheets/d/1QqKyyYR6Q21VydFLVH3TRQUabQu_ym0Zz7PgGX0-kHA/edit?usp=sharing"",""แผน!HJ59"")"),3540.25)</f>
        <v>3540.25</v>
      </c>
      <c r="J593" s="189">
        <f t="shared" ref="J593:J594" si="255">J595+J603+J609</f>
        <v>2163.3775000000001</v>
      </c>
      <c r="K593" s="390">
        <f t="shared" ca="1" si="254"/>
        <v>61.108043217286912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IFERROR(__xludf.DUMMYFUNCTION("IMPORTRANGE(""https://docs.google.com/spreadsheets/d/1QqKyyYR6Q21VydFLVH3TRQUabQu_ym0Zz7PgGX0-kHA/edit?usp=sharing"",""แผน!HI59"")"),181)</f>
        <v>181</v>
      </c>
      <c r="J594" s="189">
        <f t="shared" si="255"/>
        <v>110</v>
      </c>
      <c r="K594" s="390">
        <f t="shared" ca="1" si="254"/>
        <v>60.773480662983424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6">J597+J599</f>
        <v>1977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6"/>
        <v>101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1977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101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7">J605+J607</f>
        <v>186.3775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7"/>
        <v>9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186.3775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9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8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9">J614+J616</f>
        <v>0</v>
      </c>
      <c r="K612" s="663">
        <f t="shared" si="258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9"/>
        <v>0</v>
      </c>
      <c r="K613" s="663">
        <f t="shared" si="258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IFERROR(__xludf.DUMMYFUNCTION("IMPORTRANGE(""https://docs.google.com/spreadsheets/d/1QqKyyYR6Q21VydFLVH3TRQUabQu_ym0Zz7PgGX0-kHA/edit?usp=sharing"",""แผน!HL59"")"),0)</f>
        <v>0</v>
      </c>
      <c r="J620" s="672">
        <f t="shared" ref="J620:J621" si="260">J622+J624+J626</f>
        <v>0</v>
      </c>
      <c r="K620" s="673">
        <f t="shared" ref="K620:K621" ca="1" si="261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IFERROR(__xludf.DUMMYFUNCTION("IMPORTRANGE(""https://docs.google.com/spreadsheets/d/1QqKyyYR6Q21VydFLVH3TRQUabQu_ym0Zz7PgGX0-kHA/edit?usp=sharing"",""แผน!HK59"")"),0)</f>
        <v>0</v>
      </c>
      <c r="J621" s="672">
        <f t="shared" si="260"/>
        <v>0</v>
      </c>
      <c r="K621" s="673">
        <f t="shared" ca="1" si="261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2">I651</f>
        <v>0</v>
      </c>
      <c r="J628" s="683">
        <f t="shared" ca="1" si="262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IFERROR(__xludf.DUMMYFUNCTION("IMPORTRANGE(""https://docs.google.com/spreadsheets/d/1QqKyyYR6Q21VydFLVH3TRQUabQu_ym0Zz7PgGX0-kHA/edit?usp=sharing"",""แผน!HN59"")"),0)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IFERROR(__xludf.DUMMYFUNCTION("IMPORTRANGE(""https://docs.google.com/spreadsheets/d/1QqKyyYR6Q21VydFLVH3TRQUabQu_ym0Zz7PgGX0-kHA/edit?usp=sharing"",""แผน!HR59"")"),0)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IFERROR(__xludf.DUMMYFUNCTION("IMPORTRANGE(""https://docs.google.com/spreadsheets/d/1QqKyyYR6Q21VydFLVH3TRQUabQu_ym0Zz7PgGX0-kHA/edit?usp=sharing"",""แผน!HR59"")"),0)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IFERROR(__xludf.DUMMYFUNCTION("IMPORTRANGE(""https://docs.google.com/spreadsheets/d/1XWAQStnk-4SwqDmLtmXYiTMKHgktTP8We1SCoS47DrQ/edit?usp=sharing"",""จัดที่ดิน!AS59"")"),0)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IFERROR(__xludf.DUMMYFUNCTION("IMPORTRANGE(""https://docs.google.com/spreadsheets/d/1XWAQStnk-4SwqDmLtmXYiTMKHgktTP8We1SCoS47DrQ/edit?usp=sharing"",""จัดที่ดิน!AT59"")"),0)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IFERROR(__xludf.DUMMYFUNCTION("IMPORTRANGE(""https://docs.google.com/spreadsheets/d/1QqKyyYR6Q21VydFLVH3TRQUabQu_ym0Zz7PgGX0-kHA/edit?usp=sharing"",""แผน!HS59"")"),0)</f>
        <v>0</v>
      </c>
      <c r="J647" s="37">
        <f ca="1">IFERROR(__xludf.DUMMYFUNCTION("IMPORTRANGE(""https://docs.google.com/spreadsheets/d/1XWAQStnk-4SwqDmLtmXYiTMKHgktTP8We1SCoS47DrQ/edit?usp=sharing"",""จัดที่ดิน!AU59"")"),0)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IFERROR(__xludf.DUMMYFUNCTION("IMPORTRANGE(""https://docs.google.com/spreadsheets/d/1XWAQStnk-4SwqDmLtmXYiTMKHgktTP8We1SCoS47DrQ/edit?usp=sharing"",""จัดที่ดิน!AV59"")"),0)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IFERROR(__xludf.DUMMYFUNCTION("IMPORTRANGE(""https://docs.google.com/spreadsheets/d/1QqKyyYR6Q21VydFLVH3TRQUabQu_ym0Zz7PgGX0-kHA/edit?usp=sharing"",""แผน!HS59"")"),0)</f>
        <v>0</v>
      </c>
      <c r="J649" s="37">
        <f ca="1">IFERROR(__xludf.DUMMYFUNCTION("IMPORTRANGE(""https://docs.google.com/spreadsheets/d/1XWAQStnk-4SwqDmLtmXYiTMKHgktTP8We1SCoS47DrQ/edit?usp=sharing"",""จัดที่ดิน!AW59"")"),0)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IFERROR(__xludf.DUMMYFUNCTION("IMPORTRANGE(""https://docs.google.com/spreadsheets/d/1XWAQStnk-4SwqDmLtmXYiTMKHgktTP8We1SCoS47DrQ/edit?usp=sharing"",""จัดที่ดิน!AX59"")"),0)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IFERROR(__xludf.DUMMYFUNCTION("IMPORTRANGE(""https://docs.google.com/spreadsheets/d/1QqKyyYR6Q21VydFLVH3TRQUabQu_ym0Zz7PgGX0-kHA/edit?usp=sharing"",""แผน!HS59"")"),0)</f>
        <v>0</v>
      </c>
      <c r="J651" s="37">
        <f ca="1">IFERROR(__xludf.DUMMYFUNCTION("IMPORTRANGE(""https://docs.google.com/spreadsheets/d/1XWAQStnk-4SwqDmLtmXYiTMKHgktTP8We1SCoS47DrQ/edit?usp=sharing"",""จัดที่ดิน!AY59"")"),0)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IFERROR(__xludf.DUMMYFUNCTION("IMPORTRANGE(""https://docs.google.com/spreadsheets/d/1XWAQStnk-4SwqDmLtmXYiTMKHgktTP8We1SCoS47DrQ/edit?usp=sharing"",""จัดที่ดิน!AZ59"")"),0)</f>
        <v>0</v>
      </c>
      <c r="K652" s="472">
        <f t="shared" si="271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2">I669</f>
        <v>50</v>
      </c>
      <c r="J654" s="627">
        <f t="shared" si="272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3">L656+L657</f>
        <v>7800</v>
      </c>
      <c r="M655" s="191">
        <f t="shared" ca="1" si="273"/>
        <v>7800</v>
      </c>
      <c r="N655" s="191">
        <f t="shared" si="273"/>
        <v>3220</v>
      </c>
      <c r="O655" s="191">
        <f t="shared" ref="O655:O660" ca="1" si="274">IF(L655&gt;0,N655*100/L655,0)</f>
        <v>41.282051282051285</v>
      </c>
      <c r="P655" s="191">
        <f t="shared" ref="P655:P660" ca="1" si="275">IF(M655&gt;0,N655*100/M655,0)</f>
        <v>41.282051282051285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6"/>
        <v>7800</v>
      </c>
      <c r="M657" s="45">
        <f t="shared" ca="1" si="276"/>
        <v>7800</v>
      </c>
      <c r="N657" s="45">
        <f t="shared" si="276"/>
        <v>3220</v>
      </c>
      <c r="O657" s="45">
        <f t="shared" ca="1" si="274"/>
        <v>41.282051282051285</v>
      </c>
      <c r="P657" s="45">
        <f t="shared" ca="1" si="275"/>
        <v>41.282051282051285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7800</v>
      </c>
      <c r="M658" s="38">
        <f t="shared" ca="1" si="277"/>
        <v>7800</v>
      </c>
      <c r="N658" s="38">
        <f t="shared" si="277"/>
        <v>3220</v>
      </c>
      <c r="O658" s="38">
        <f t="shared" ca="1" si="274"/>
        <v>41.282051282051285</v>
      </c>
      <c r="P658" s="38">
        <f t="shared" ca="1" si="275"/>
        <v>41.282051282051285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IFERROR(__xludf.DUMMYFUNCTION("IMPORTRANGE(""https://docs.google.com/spreadsheets/d/1QqKyyYR6Q21VydFLVH3TRQUabQu_ym0Zz7PgGX0-kHA/edit?usp=sharing"",""แผน!HV59"")"),7800)</f>
        <v>7800</v>
      </c>
      <c r="M660" s="45">
        <f ca="1">L660</f>
        <v>7800</v>
      </c>
      <c r="N660" s="45">
        <f>N661+N662+N663+N664</f>
        <v>3220</v>
      </c>
      <c r="O660" s="45">
        <f t="shared" ca="1" si="274"/>
        <v>41.282051282051285</v>
      </c>
      <c r="P660" s="45">
        <f t="shared" ca="1" si="275"/>
        <v>41.282051282051285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3220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IFERROR(__xludf.DUMMYFUNCTION("IMPORTRANGE(""https://docs.google.com/spreadsheets/d/1QqKyyYR6Q21VydFLVH3TRQUabQu_ym0Zz7PgGX0-kHA/edit?usp=sharing"",""แผน!IA59"")"),50)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IFERROR(__xludf.DUMMYFUNCTION("IMPORTRANGE(""https://docs.google.com/spreadsheets/d/1QqKyyYR6Q21VydFLVH3TRQUabQu_ym0Zz7PgGX0-kHA/edit?usp=sharing"",""แผน!HZ59"")"),3)</f>
        <v>3</v>
      </c>
      <c r="J670" s="181">
        <v>3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IFERROR(__xludf.DUMMYFUNCTION("IMPORTRANGE(""https://docs.google.com/spreadsheets/d/1QqKyyYR6Q21VydFLVH3TRQUabQu_ym0Zz7PgGX0-kHA/edit?usp=sharing"",""แผน!HZ59"")"),3)</f>
        <v>3</v>
      </c>
      <c r="J671" s="181">
        <v>3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142</v>
      </c>
      <c r="K672" s="38">
        <f t="shared" ref="K672:K675" ca="1" si="281">IF(I$669&gt;0,J672*100/I$669,0)</f>
        <v>284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2">L686+L687</f>
        <v>54320</v>
      </c>
      <c r="M685" s="191">
        <f t="shared" ca="1" si="282"/>
        <v>54320</v>
      </c>
      <c r="N685" s="191">
        <f t="shared" si="282"/>
        <v>3200</v>
      </c>
      <c r="O685" s="191">
        <f t="shared" ref="O685:O688" ca="1" si="283">IF(L685&gt;0,N685*100/L685,0)</f>
        <v>5.8910162002945512</v>
      </c>
      <c r="P685" s="191">
        <f t="shared" ref="P685:P688" ca="1" si="284">IF(M685&gt;0,N685*100/M685,0)</f>
        <v>5.8910162002945512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5"/>
        <v>54320</v>
      </c>
      <c r="M687" s="45">
        <f t="shared" ca="1" si="285"/>
        <v>54320</v>
      </c>
      <c r="N687" s="45">
        <f t="shared" si="285"/>
        <v>3200</v>
      </c>
      <c r="O687" s="45">
        <f t="shared" ca="1" si="283"/>
        <v>5.8910162002945512</v>
      </c>
      <c r="P687" s="45">
        <f t="shared" ca="1" si="284"/>
        <v>5.8910162002945512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54320</v>
      </c>
      <c r="M688" s="38">
        <f t="shared" ca="1" si="286"/>
        <v>54320</v>
      </c>
      <c r="N688" s="38">
        <f t="shared" si="286"/>
        <v>3200</v>
      </c>
      <c r="O688" s="38">
        <f t="shared" ca="1" si="283"/>
        <v>5.8910162002945512</v>
      </c>
      <c r="P688" s="38">
        <f t="shared" ca="1" si="284"/>
        <v>5.8910162002945512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IFERROR(__xludf.DUMMYFUNCTION("IMPORTRANGE(""https://docs.google.com/spreadsheets/d/1QqKyyYR6Q21VydFLVH3TRQUabQu_ym0Zz7PgGX0-kHA/edit?usp=sharing"",""แผน!HW59"")"),54320)</f>
        <v>54320</v>
      </c>
      <c r="M690" s="45">
        <f ca="1">L690</f>
        <v>54320</v>
      </c>
      <c r="N690" s="45">
        <f>N691+N692+N693+N694</f>
        <v>3200</v>
      </c>
      <c r="O690" s="45">
        <f ca="1">IF(L690&gt;0,N690*100/L690,0)</f>
        <v>5.8910162002945512</v>
      </c>
      <c r="P690" s="45">
        <f ca="1">IF(M690&gt;0,N690*100/M690,0)</f>
        <v>5.8910162002945512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3200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IFERROR(__xludf.DUMMYFUNCTION("IMPORTRANGE(""https://docs.google.com/spreadsheets/d/1QqKyyYR6Q21VydFLVH3TRQUabQu_ym0Zz7PgGX0-kHA/edit?usp=sharing"",""แผน!IC59"")"),0)</f>
        <v>0</v>
      </c>
      <c r="J699" s="37">
        <f ca="1">IFERROR(__xludf.DUMMYFUNCTION("IMPORTRANGE(""https://docs.google.com/spreadsheets/d/1XWAQStnk-4SwqDmLtmXYiTMKHgktTP8We1SCoS47DrQ/edit?usp=sharing"",""จัดที่ดิน!BB59"")"),0)</f>
        <v>0</v>
      </c>
      <c r="K699" s="38">
        <f t="shared" ref="K699:K701" ca="1" si="290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IFERROR(__xludf.DUMMYFUNCTION("IMPORTRANGE(""https://docs.google.com/spreadsheets/d/1QqKyyYR6Q21VydFLVH3TRQUabQu_ym0Zz7PgGX0-kHA/edit?usp=sharing"",""แผน!ID59"")"),0)</f>
        <v>0</v>
      </c>
      <c r="J700" s="37">
        <f ca="1">IFERROR(__xludf.DUMMYFUNCTION("IMPORTRANGE(""https://docs.google.com/spreadsheets/d/1XWAQStnk-4SwqDmLtmXYiTMKHgktTP8We1SCoS47DrQ/edit?usp=sharing"",""จัดที่ดิน!BD59"")"),0)</f>
        <v>0</v>
      </c>
      <c r="K700" s="38">
        <f t="shared" ca="1" si="290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IFERROR(__xludf.DUMMYFUNCTION("IMPORTRANGE(""https://docs.google.com/spreadsheets/d/1QqKyyYR6Q21VydFLVH3TRQUabQu_ym0Zz7PgGX0-kHA/edit?usp=sharing"",""แผน!IE59"")"),541)</f>
        <v>541</v>
      </c>
      <c r="J701" s="190">
        <f>J704+J707</f>
        <v>0</v>
      </c>
      <c r="K701" s="191">
        <f t="shared" ca="1" si="290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IFERROR(__xludf.DUMMYFUNCTION("IMPORTRANGE(""https://docs.google.com/spreadsheets/d/1QqKyyYR6Q21VydFLVH3TRQUabQu_ym0Zz7PgGX0-kHA/edit?usp=sharing"",""แผน!IF59"")"),541)</f>
        <v>541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IFERROR(__xludf.DUMMYFUNCTION("IMPORTRANGE(""https://docs.google.com/spreadsheets/d/1QqKyyYR6Q21VydFLVH3TRQUabQu_ym0Zz7PgGX0-kHA/edit?usp=sharing"",""แผน!IG59"")"),0)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IFERROR(__xludf.DUMMYFUNCTION("IMPORTRANGE(""https://docs.google.com/spreadsheets/d/1QqKyyYR6Q21VydFLVH3TRQUabQu_ym0Zz7PgGX0-kHA/edit?usp=sharing"",""แผน!IH59"")"),131)</f>
        <v>131</v>
      </c>
      <c r="J708" s="190">
        <f>J714+J717</f>
        <v>132</v>
      </c>
      <c r="K708" s="191">
        <f ca="1">IF(I708&gt;0,J708*100/I708,0)</f>
        <v>100.76335877862596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4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19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>
        <v>132</v>
      </c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IFERROR(__xludf.DUMMYFUNCTION("IMPORTRANGE(""https://docs.google.com/spreadsheets/d/1XWAQStnk-4SwqDmLtmXYiTMKHgktTP8We1SCoS47DrQ/edit?usp=sharing"",""จัดที่ดิน!BF59"")"),0)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IFERROR(__xludf.DUMMYFUNCTION("IMPORTRANGE(""https://docs.google.com/spreadsheets/d/1XWAQStnk-4SwqDmLtmXYiTMKHgktTP8We1SCoS47DrQ/edit?usp=sharing"",""จัดที่ดิน!BG59"")"),0)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IFERROR(__xludf.DUMMYFUNCTION("IMPORTRANGE(""https://docs.google.com/spreadsheets/d/1QqKyyYR6Q21VydFLVH3TRQUabQu_ym0Zz7PgGX0-kHA/edit?usp=sharing"",""แผน!II59"")"),312)</f>
        <v>312</v>
      </c>
      <c r="J720" s="37">
        <f ca="1">IFERROR(__xludf.DUMMYFUNCTION("IMPORTRANGE(""https://docs.google.com/spreadsheets/d/1XWAQStnk-4SwqDmLtmXYiTMKHgktTP8We1SCoS47DrQ/edit?usp=sharing"",""จัดที่ดิน!BH59"")"),0)</f>
        <v>0</v>
      </c>
      <c r="K720" s="38">
        <f t="shared" ref="K720:K723" ca="1" si="291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IFERROR(__xludf.DUMMYFUNCTION("IMPORTRANGE(""https://docs.google.com/spreadsheets/d/1QqKyyYR6Q21VydFLVH3TRQUabQu_ym0Zz7PgGX0-kHA/edit?usp=sharing"",""แผน!IJ59"")"),36)</f>
        <v>36</v>
      </c>
      <c r="J721" s="190">
        <f ca="1">J723+J726</f>
        <v>16</v>
      </c>
      <c r="K721" s="191">
        <f t="shared" ca="1" si="291"/>
        <v>44.444444444444443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IFERROR(__xludf.DUMMYFUNCTION("IMPORTRANGE(""https://docs.google.com/spreadsheets/d/1QqKyyYR6Q21VydFLVH3TRQUabQu_ym0Zz7PgGX0-kHA/edit?usp=sharing"",""แผน!IK59"")"),351)</f>
        <v>351</v>
      </c>
      <c r="J722" s="190">
        <f ca="1">J725+J728</f>
        <v>219.1</v>
      </c>
      <c r="K722" s="191">
        <f t="shared" ca="1" si="291"/>
        <v>62.421652421652425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IFERROR(__xludf.DUMMYFUNCTION("IMPORTRANGE(""https://docs.google.com/spreadsheets/d/1QqKyyYR6Q21VydFLVH3TRQUabQu_ym0Zz7PgGX0-kHA/edit?usp=sharing"",""แผน!IL59"")"),17)</f>
        <v>17</v>
      </c>
      <c r="J723" s="37">
        <f ca="1">IFERROR(__xludf.DUMMYFUNCTION("IMPORTRANGE(""https://docs.google.com/spreadsheets/d/1XWAQStnk-4SwqDmLtmXYiTMKHgktTP8We1SCoS47DrQ/edit?usp=sharing"",""จัดที่ดิน!BM59"")"),12)</f>
        <v>12</v>
      </c>
      <c r="K723" s="38">
        <f t="shared" ca="1" si="291"/>
        <v>70.588235294117652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IFERROR(__xludf.DUMMYFUNCTION("IMPORTRANGE(""https://docs.google.com/spreadsheets/d/1XWAQStnk-4SwqDmLtmXYiTMKHgktTP8We1SCoS47DrQ/edit?usp=sharing"",""จัดที่ดิน!BN59"")"),13)</f>
        <v>13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IFERROR(__xludf.DUMMYFUNCTION("IMPORTRANGE(""https://docs.google.com/spreadsheets/d/1QqKyyYR6Q21VydFLVH3TRQUabQu_ym0Zz7PgGX0-kHA/edit?usp=sharing"",""แผน!IM59"")"),220)</f>
        <v>220</v>
      </c>
      <c r="J725" s="37">
        <f ca="1">IFERROR(__xludf.DUMMYFUNCTION("IMPORTRANGE(""https://docs.google.com/spreadsheets/d/1XWAQStnk-4SwqDmLtmXYiTMKHgktTP8We1SCoS47DrQ/edit?usp=sharing"",""จัดที่ดิน!BO59"")"),191.73)</f>
        <v>191.73</v>
      </c>
      <c r="K725" s="38">
        <f t="shared" ref="K725:K726" ca="1" si="292">IF(I725&gt;0,J725*100/I725,0)</f>
        <v>87.15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IFERROR(__xludf.DUMMYFUNCTION("IMPORTRANGE(""https://docs.google.com/spreadsheets/d/1QqKyyYR6Q21VydFLVH3TRQUabQu_ym0Zz7PgGX0-kHA/edit?usp=sharing"",""แผน!IN59"")"),19)</f>
        <v>19</v>
      </c>
      <c r="J726" s="37">
        <f ca="1">IFERROR(__xludf.DUMMYFUNCTION("IMPORTRANGE(""https://docs.google.com/spreadsheets/d/1XWAQStnk-4SwqDmLtmXYiTMKHgktTP8We1SCoS47DrQ/edit?usp=sharing"",""จัดที่ดิน!BR59"")"),4)</f>
        <v>4</v>
      </c>
      <c r="K726" s="38">
        <f t="shared" ca="1" si="292"/>
        <v>21.05263157894737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IFERROR(__xludf.DUMMYFUNCTION("IMPORTRANGE(""https://docs.google.com/spreadsheets/d/1XWAQStnk-4SwqDmLtmXYiTMKHgktTP8We1SCoS47DrQ/edit?usp=sharing"",""จัดที่ดิน!BS59"")"),5)</f>
        <v>5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IFERROR(__xludf.DUMMYFUNCTION("IMPORTRANGE(""https://docs.google.com/spreadsheets/d/1QqKyyYR6Q21VydFLVH3TRQUabQu_ym0Zz7PgGX0-kHA/edit?usp=sharing"",""แผน!IO59"")"),131)</f>
        <v>131</v>
      </c>
      <c r="J728" s="37">
        <f ca="1">IFERROR(__xludf.DUMMYFUNCTION("IMPORTRANGE(""https://docs.google.com/spreadsheets/d/1XWAQStnk-4SwqDmLtmXYiTMKHgktTP8We1SCoS47DrQ/edit?usp=sharing"",""จัดที่ดิน!BT59"")"),27.37)</f>
        <v>27.37</v>
      </c>
      <c r="K728" s="38">
        <f t="shared" ref="K728:K729" ca="1" si="293">IF(I728&gt;0,J728*100/I728,0)</f>
        <v>20.893129770992367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IFERROR(__xludf.DUMMYFUNCTION("IMPORTRANGE(""https://docs.google.com/spreadsheets/d/1QqKyyYR6Q21VydFLVH3TRQUabQu_ym0Zz7PgGX0-kHA/edit?usp=sharing"",""แผน!IP59"")"),131)</f>
        <v>131</v>
      </c>
      <c r="J729" s="190">
        <f>J732+J735</f>
        <v>161.04750000000001</v>
      </c>
      <c r="K729" s="191">
        <f t="shared" ca="1" si="293"/>
        <v>122.93702290076337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>
        <v>7</v>
      </c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7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102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2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2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59.047499999999999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4">L738+L739</f>
        <v>0</v>
      </c>
      <c r="M737" s="598">
        <f t="shared" si="294"/>
        <v>0</v>
      </c>
      <c r="N737" s="598">
        <f t="shared" si="294"/>
        <v>0</v>
      </c>
      <c r="O737" s="598">
        <f t="shared" ref="O737:O742" si="295">IF(L737&gt;0,N737*100/L737,0)</f>
        <v>0</v>
      </c>
      <c r="P737" s="598">
        <f t="shared" ref="P737:P742" si="296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8">L741+L742</f>
        <v>0</v>
      </c>
      <c r="M740" s="598">
        <f t="shared" si="298"/>
        <v>0</v>
      </c>
      <c r="N740" s="598">
        <f t="shared" si="298"/>
        <v>0</v>
      </c>
      <c r="O740" s="598">
        <f t="shared" si="295"/>
        <v>0</v>
      </c>
      <c r="P740" s="598">
        <f t="shared" si="296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9">L748+L749</f>
        <v>0</v>
      </c>
      <c r="M747" s="598">
        <f t="shared" si="299"/>
        <v>0</v>
      </c>
      <c r="N747" s="598">
        <f t="shared" si="299"/>
        <v>0</v>
      </c>
      <c r="O747" s="598">
        <f t="shared" ref="O747:O749" si="300">IF(L747&gt;0,N747*100/L747,0)</f>
        <v>0</v>
      </c>
      <c r="P747" s="598">
        <f t="shared" ref="P747:P749" si="301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2">L755+L756</f>
        <v>0</v>
      </c>
      <c r="M754" s="598">
        <f t="shared" si="302"/>
        <v>0</v>
      </c>
      <c r="N754" s="598">
        <f t="shared" si="302"/>
        <v>0</v>
      </c>
      <c r="O754" s="598">
        <f t="shared" ref="O754:O759" si="303">IF(L754&gt;0,N754*100/L754,0)</f>
        <v>0</v>
      </c>
      <c r="P754" s="598">
        <f t="shared" ref="P754:P759" si="304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6">L758+L759</f>
        <v>0</v>
      </c>
      <c r="M757" s="598">
        <f t="shared" si="306"/>
        <v>0</v>
      </c>
      <c r="N757" s="598">
        <f t="shared" si="306"/>
        <v>0</v>
      </c>
      <c r="O757" s="598">
        <f t="shared" si="303"/>
        <v>0</v>
      </c>
      <c r="P757" s="598">
        <f t="shared" si="304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7">L765+L766</f>
        <v>0</v>
      </c>
      <c r="M764" s="598">
        <f t="shared" si="307"/>
        <v>0</v>
      </c>
      <c r="N764" s="598">
        <f t="shared" si="307"/>
        <v>0</v>
      </c>
      <c r="O764" s="598">
        <f t="shared" ref="O764:O766" si="308">IF(L764&gt;0,N764*100/L764,0)</f>
        <v>0</v>
      </c>
      <c r="P764" s="598">
        <f t="shared" ref="P764:P766" si="309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10">L771+L772</f>
        <v>0</v>
      </c>
      <c r="M770" s="598">
        <f t="shared" si="310"/>
        <v>0</v>
      </c>
      <c r="N770" s="598">
        <f t="shared" si="310"/>
        <v>0</v>
      </c>
      <c r="O770" s="598">
        <f t="shared" ref="O770:O775" si="311">IF(L770&gt;0,N770*100/L770,0)</f>
        <v>0</v>
      </c>
      <c r="P770" s="598">
        <f t="shared" ref="P770:P775" si="312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4">L774+L775</f>
        <v>0</v>
      </c>
      <c r="M773" s="598">
        <f t="shared" si="314"/>
        <v>0</v>
      </c>
      <c r="N773" s="598">
        <f t="shared" si="314"/>
        <v>0</v>
      </c>
      <c r="O773" s="598">
        <f t="shared" si="311"/>
        <v>0</v>
      </c>
      <c r="P773" s="598">
        <f t="shared" si="312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5">L781+L782</f>
        <v>0</v>
      </c>
      <c r="M780" s="598">
        <f t="shared" si="315"/>
        <v>0</v>
      </c>
      <c r="N780" s="598">
        <f t="shared" si="315"/>
        <v>0</v>
      </c>
      <c r="O780" s="598">
        <f t="shared" ref="O780:O782" si="316">IF(L780&gt;0,N780*100/L780,0)</f>
        <v>0</v>
      </c>
      <c r="P780" s="598">
        <f t="shared" ref="P780:P782" si="317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8">I800</f>
        <v>0</v>
      </c>
      <c r="J785" s="825">
        <f t="shared" ca="1" si="318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IFERROR(__xludf.DUMMYFUNCTION("IMPORTRANGE(""https://docs.google.com/spreadsheets/d/1QqKyyYR6Q21VydFLVH3TRQUabQu_ym0Zz7PgGX0-kHA/edit?usp=sharing"",""แผน!JJ59"")"),0)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IFERROR(__xludf.DUMMYFUNCTION("IMPORTRANGE(""https://docs.google.com/spreadsheets/d/1QqKyyYR6Q21VydFLVH3TRQUabQu_ym0Zz7PgGX0-kHA/edit?usp=sharing"",""แผน!JN59"")"),0)</f>
        <v>0</v>
      </c>
      <c r="J800" s="161">
        <f ca="1">IFERROR(__xludf.DUMMYFUNCTION("IMPORTRANGE(""https://docs.google.com/spreadsheets/d/1MaWodYyGHDf7siQLGxnXhG4mBNTNIuy296niS2xXulU/edit?usp=sharing"",""RTK!H59"")"),0)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IFERROR(__xludf.DUMMYFUNCTION("IMPORTRANGE(""https://docs.google.com/spreadsheets/d/1MaWodYyGHDf7siQLGxnXhG4mBNTNIuy296niS2xXulU/edit?usp=sharing"",""RTK!I59"")"),0)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7">L806+L807</f>
        <v>0</v>
      </c>
      <c r="M805" s="598">
        <f t="shared" si="327"/>
        <v>0</v>
      </c>
      <c r="N805" s="598">
        <f t="shared" si="327"/>
        <v>0</v>
      </c>
      <c r="O805" s="598">
        <f t="shared" ref="O805:O810" si="328">IF(L805&gt;0,N805*100/L805,0)</f>
        <v>0</v>
      </c>
      <c r="P805" s="598">
        <f t="shared" ref="P805:P810" si="329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1">L809+L810</f>
        <v>0</v>
      </c>
      <c r="M808" s="598">
        <f t="shared" si="331"/>
        <v>0</v>
      </c>
      <c r="N808" s="598">
        <f t="shared" si="331"/>
        <v>0</v>
      </c>
      <c r="O808" s="598">
        <f t="shared" si="328"/>
        <v>0</v>
      </c>
      <c r="P808" s="598">
        <f t="shared" si="329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2">L816+L817</f>
        <v>0</v>
      </c>
      <c r="M815" s="598">
        <f t="shared" si="332"/>
        <v>0</v>
      </c>
      <c r="N815" s="598">
        <f t="shared" si="332"/>
        <v>0</v>
      </c>
      <c r="O815" s="598">
        <f t="shared" ref="O815:O817" si="333">IF(L815&gt;0,N815*100/L815,0)</f>
        <v>0</v>
      </c>
      <c r="P815" s="598">
        <f t="shared" ref="P815:P817" si="334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37">
        <f ca="1">IFERROR(__xludf.DUMMYFUNCTION("IMPORTRANGE(""https://docs.google.com/spreadsheets/d/19vJNZY_5yjcGF2XGBMNZRCAIB0Kwfpjp8YEOfu-bneM/edit?usp=sharing"",""งานกองทุน!F59"")"),2199983.95)</f>
        <v>2199983.9500000002</v>
      </c>
      <c r="K821" s="38">
        <f t="shared" ref="K821:K828" ca="1" si="335">IF(I821&gt;0,J821*100/I821,0)</f>
        <v>81.259783379930511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IFERROR(__xludf.DUMMYFUNCTION("IMPORTRANGE(""https://docs.google.com/spreadsheets/d/19vJNZY_5yjcGF2XGBMNZRCAIB0Kwfpjp8YEOfu-bneM/edit?usp=sharing"",""งานกองทุน!C59"")"),100)</f>
        <v>100</v>
      </c>
      <c r="J822" s="37">
        <f ca="1">IFERROR(__xludf.DUMMYFUNCTION("IMPORTRANGE(""https://docs.google.com/spreadsheets/d/19vJNZY_5yjcGF2XGBMNZRCAIB0Kwfpjp8YEOfu-bneM/edit?usp=sharing"",""งานกองทุน!E59"")"),86)</f>
        <v>86</v>
      </c>
      <c r="K822" s="38">
        <f t="shared" ca="1" si="335"/>
        <v>86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37">
        <f ca="1">IFERROR(__xludf.DUMMYFUNCTION("IMPORTRANGE(""https://docs.google.com/spreadsheets/d/19vJNZY_5yjcGF2XGBMNZRCAIB0Kwfpjp8YEOfu-bneM/edit?usp=sharing"",""งานกองทุน!K59"")"),245059.72)</f>
        <v>245059.72</v>
      </c>
      <c r="K823" s="38">
        <f t="shared" ca="1" si="335"/>
        <v>5.8845278354981314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IFERROR(__xludf.DUMMYFUNCTION("IMPORTRANGE(""https://docs.google.com/spreadsheets/d/19vJNZY_5yjcGF2XGBMNZRCAIB0Kwfpjp8YEOfu-bneM/edit?usp=sharing"",""งานกองทุน!H59"")"),123)</f>
        <v>123</v>
      </c>
      <c r="J824" s="37">
        <f ca="1">IFERROR(__xludf.DUMMYFUNCTION("IMPORTRANGE(""https://docs.google.com/spreadsheets/d/19vJNZY_5yjcGF2XGBMNZRCAIB0Kwfpjp8YEOfu-bneM/edit?usp=sharing"",""งานกองทุน!J59"")"),31)</f>
        <v>31</v>
      </c>
      <c r="K824" s="38">
        <f t="shared" ca="1" si="335"/>
        <v>25.203252032520325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37">
        <f ca="1">IFERROR(__xludf.DUMMYFUNCTION("IMPORTRANGE(""https://docs.google.com/spreadsheets/d/19vJNZY_5yjcGF2XGBMNZRCAIB0Kwfpjp8YEOfu-bneM/edit?usp=sharing"",""งานกองทุน!P59"")"),2452262.44)</f>
        <v>2452262.44</v>
      </c>
      <c r="K825" s="38">
        <f t="shared" ca="1" si="335"/>
        <v>47.272600317004432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IFERROR(__xludf.DUMMYFUNCTION("IMPORTRANGE(""https://docs.google.com/spreadsheets/d/19vJNZY_5yjcGF2XGBMNZRCAIB0Kwfpjp8YEOfu-bneM/edit?usp=sharing"",""งานกองทุน!M59"")"),1897)</f>
        <v>1897</v>
      </c>
      <c r="J826" s="37">
        <f ca="1">IFERROR(__xludf.DUMMYFUNCTION("IMPORTRANGE(""https://docs.google.com/spreadsheets/d/19vJNZY_5yjcGF2XGBMNZRCAIB0Kwfpjp8YEOfu-bneM/edit?usp=sharing"",""งานกองทุน!O59"")"),1242)</f>
        <v>1242</v>
      </c>
      <c r="K826" s="38">
        <f t="shared" ca="1" si="335"/>
        <v>65.471797575118615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IFERROR(__xludf.DUMMYFUNCTION("IMPORTRANGE(""https://docs.google.com/spreadsheets/d/19vJNZY_5yjcGF2XGBMNZRCAIB0Kwfpjp8YEOfu-bneM/edit?usp=sharing"",""งานกองทุน!S59"")"),2810000)</f>
        <v>2810000</v>
      </c>
      <c r="J827" s="37">
        <f ca="1">IFERROR(__xludf.DUMMYFUNCTION("IMPORTRANGE(""https://docs.google.com/spreadsheets/d/19vJNZY_5yjcGF2XGBMNZRCAIB0Kwfpjp8YEOfu-bneM/edit?usp=sharing"",""งานกองทุน!U59"")"),2505000)</f>
        <v>2505000</v>
      </c>
      <c r="K827" s="38">
        <f t="shared" ca="1" si="335"/>
        <v>89.145907473309606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IFERROR(__xludf.DUMMYFUNCTION("IMPORTRANGE(""https://docs.google.com/spreadsheets/d/19vJNZY_5yjcGF2XGBMNZRCAIB0Kwfpjp8YEOfu-bneM/edit?usp=sharing"",""งานกองทุน!R59"")"),111)</f>
        <v>111</v>
      </c>
      <c r="J828" s="365">
        <f ca="1">IFERROR(__xludf.DUMMYFUNCTION("IMPORTRANGE(""https://docs.google.com/spreadsheets/d/19vJNZY_5yjcGF2XGBMNZRCAIB0Kwfpjp8YEOfu-bneM/edit?usp=sharing"",""งานกองทุน!T59"")"),75)</f>
        <v>75</v>
      </c>
      <c r="K828" s="472">
        <f t="shared" ca="1" si="335"/>
        <v>67.567567567567565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9E661-54CA-42FC-81E9-1B36BD5BEA1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75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1:26" ht="19">
      <c r="A2" s="775" t="s">
        <v>343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</row>
    <row r="3" spans="1:26" ht="19">
      <c r="A3" s="775" t="s">
        <v>362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83" t="s">
        <v>2</v>
      </c>
      <c r="B5" s="776"/>
      <c r="C5" s="776"/>
      <c r="D5" s="776"/>
      <c r="E5" s="776"/>
      <c r="F5" s="776"/>
      <c r="G5" s="784"/>
      <c r="H5" s="777" t="s">
        <v>3</v>
      </c>
      <c r="I5" s="779" t="s">
        <v>4</v>
      </c>
      <c r="J5" s="780"/>
      <c r="K5" s="778"/>
      <c r="L5" s="781" t="s">
        <v>5</v>
      </c>
      <c r="M5" s="778"/>
      <c r="N5" s="782" t="s">
        <v>6</v>
      </c>
      <c r="O5" s="780"/>
      <c r="P5" s="778"/>
    </row>
    <row r="6" spans="1:26" ht="19">
      <c r="A6" s="785"/>
      <c r="B6" s="780"/>
      <c r="C6" s="780"/>
      <c r="D6" s="780"/>
      <c r="E6" s="780"/>
      <c r="F6" s="780"/>
      <c r="G6" s="778"/>
      <c r="H6" s="77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86" t="s">
        <v>15</v>
      </c>
      <c r="B7" s="780"/>
      <c r="C7" s="780"/>
      <c r="D7" s="780"/>
      <c r="E7" s="780"/>
      <c r="F7" s="780"/>
      <c r="G7" s="778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2368763.98</v>
      </c>
      <c r="N8" s="22">
        <f t="shared" ca="1" si="0"/>
        <v>1884778.14</v>
      </c>
      <c r="O8" s="22">
        <f t="shared" ref="O8:O16" ca="1" si="1">IF(L8&gt;0,N8*100/L8,0)</f>
        <v>84.961340969484695</v>
      </c>
      <c r="P8" s="22">
        <f t="shared" ref="P8:P16" ca="1" si="2">IF(M8&gt;0,N8*100/M8,0)</f>
        <v>79.568000692074023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2368763.98</v>
      </c>
      <c r="N10" s="30">
        <f t="shared" ca="1" si="3"/>
        <v>1884778.14</v>
      </c>
      <c r="O10" s="30">
        <f t="shared" ca="1" si="1"/>
        <v>84.961340969484695</v>
      </c>
      <c r="P10" s="30">
        <f t="shared" ca="1" si="2"/>
        <v>79.568000692074023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2180595</v>
      </c>
      <c r="M11" s="38">
        <f t="shared" ca="1" si="4"/>
        <v>2330963.98</v>
      </c>
      <c r="N11" s="38">
        <f t="shared" ca="1" si="4"/>
        <v>1846978.14</v>
      </c>
      <c r="O11" s="38">
        <f t="shared" ca="1" si="1"/>
        <v>84.700650051935369</v>
      </c>
      <c r="P11" s="38">
        <f t="shared" ca="1" si="2"/>
        <v>79.236665853583887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2180595</v>
      </c>
      <c r="M13" s="45">
        <f t="shared" ca="1" si="5"/>
        <v>2330963.98</v>
      </c>
      <c r="N13" s="45">
        <f t="shared" ca="1" si="5"/>
        <v>1846978.14</v>
      </c>
      <c r="O13" s="45">
        <f t="shared" ca="1" si="1"/>
        <v>84.700650051935369</v>
      </c>
      <c r="P13" s="45">
        <f t="shared" ca="1" si="2"/>
        <v>79.236665853583887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37800</v>
      </c>
      <c r="M14" s="38">
        <f t="shared" ca="1" si="6"/>
        <v>37800</v>
      </c>
      <c r="N14" s="38">
        <f t="shared" ca="1" si="6"/>
        <v>37800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86" t="s">
        <v>22</v>
      </c>
      <c r="B17" s="780"/>
      <c r="C17" s="780"/>
      <c r="D17" s="780"/>
      <c r="E17" s="780"/>
      <c r="F17" s="780"/>
      <c r="G17" s="77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2179933.98</v>
      </c>
      <c r="N18" s="22">
        <f t="shared" ca="1" si="8"/>
        <v>1737434.14</v>
      </c>
      <c r="O18" s="22">
        <f t="shared" ref="O18:O26" ca="1" si="9">IF(L18&gt;0,N18*100/L18,0)</f>
        <v>85.619310535147136</v>
      </c>
      <c r="P18" s="22">
        <f t="shared" ref="P18:P26" ca="1" si="10">IF(M18&gt;0,N18*100/M18,0)</f>
        <v>79.701227465613428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2179933.98</v>
      </c>
      <c r="N20" s="30">
        <f t="shared" ca="1" si="11"/>
        <v>1737434.14</v>
      </c>
      <c r="O20" s="30">
        <f t="shared" ca="1" si="9"/>
        <v>85.619310535147136</v>
      </c>
      <c r="P20" s="30">
        <f t="shared" ca="1" si="10"/>
        <v>79.701227465613428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1991455</v>
      </c>
      <c r="M21" s="38">
        <f t="shared" ca="1" si="12"/>
        <v>2142133.98</v>
      </c>
      <c r="N21" s="38">
        <f t="shared" ca="1" si="12"/>
        <v>1699634.14</v>
      </c>
      <c r="O21" s="38">
        <f t="shared" ca="1" si="9"/>
        <v>85.346349277287203</v>
      </c>
      <c r="P21" s="38">
        <f t="shared" ca="1" si="10"/>
        <v>79.343036237163844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1991455</v>
      </c>
      <c r="M23" s="45">
        <f t="shared" ca="1" si="13"/>
        <v>2142133.98</v>
      </c>
      <c r="N23" s="45">
        <f t="shared" ca="1" si="13"/>
        <v>1699634.14</v>
      </c>
      <c r="O23" s="45">
        <f t="shared" ca="1" si="9"/>
        <v>85.346349277287203</v>
      </c>
      <c r="P23" s="45">
        <f t="shared" ca="1" si="10"/>
        <v>79.343036237163844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37800</v>
      </c>
      <c r="M24" s="38">
        <f t="shared" ca="1" si="14"/>
        <v>37800</v>
      </c>
      <c r="N24" s="38">
        <f t="shared" ca="1" si="14"/>
        <v>37800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86" t="s">
        <v>23</v>
      </c>
      <c r="B27" s="780"/>
      <c r="C27" s="780"/>
      <c r="D27" s="780"/>
      <c r="E27" s="780"/>
      <c r="F27" s="780"/>
      <c r="G27" s="77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147344</v>
      </c>
      <c r="O28" s="22">
        <f t="shared" ref="O28:O37" ca="1" si="17">IF(L28&gt;0,N28*100/L28,0)</f>
        <v>77.902083113037961</v>
      </c>
      <c r="P28" s="22">
        <f t="shared" ref="P28:P37" ca="1" si="18">IF(M28&gt;0,N28*100/M28,0)</f>
        <v>78.029974050733458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147344</v>
      </c>
      <c r="O30" s="30">
        <f t="shared" ca="1" si="17"/>
        <v>77.902083113037961</v>
      </c>
      <c r="P30" s="30">
        <f t="shared" ca="1" si="18"/>
        <v>78.029974050733458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189140</v>
      </c>
      <c r="M31" s="38">
        <f t="shared" ca="1" si="20"/>
        <v>188830</v>
      </c>
      <c r="N31" s="38">
        <f t="shared" si="20"/>
        <v>147344</v>
      </c>
      <c r="O31" s="38">
        <f t="shared" ca="1" si="17"/>
        <v>77.902083113037961</v>
      </c>
      <c r="P31" s="38">
        <f t="shared" ca="1" si="18"/>
        <v>78.029974050733458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189140</v>
      </c>
      <c r="M33" s="45">
        <f t="shared" ca="1" si="21"/>
        <v>188830</v>
      </c>
      <c r="N33" s="45">
        <f t="shared" si="21"/>
        <v>147344</v>
      </c>
      <c r="O33" s="45">
        <f t="shared" ca="1" si="17"/>
        <v>77.902083113037961</v>
      </c>
      <c r="P33" s="45">
        <f t="shared" ca="1" si="18"/>
        <v>78.029974050733458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2179933.98</v>
      </c>
      <c r="N37" s="59">
        <f t="shared" ca="1" si="24"/>
        <v>1737434.14</v>
      </c>
      <c r="O37" s="59">
        <f t="shared" ca="1" si="17"/>
        <v>85.619310535147136</v>
      </c>
      <c r="P37" s="59">
        <f t="shared" ca="1" si="18"/>
        <v>79.701227465613428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87" t="s">
        <v>27</v>
      </c>
      <c r="C40" s="788"/>
      <c r="D40" s="788"/>
      <c r="E40" s="788"/>
      <c r="F40" s="788"/>
      <c r="G40" s="7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329938.98</v>
      </c>
      <c r="N41" s="85">
        <f t="shared" ca="1" si="25"/>
        <v>286372.44</v>
      </c>
      <c r="O41" s="85">
        <f t="shared" ref="O41:O49" ca="1" si="26">IF(L41&gt;0,N41*100/L41,0)</f>
        <v>97.604785276073613</v>
      </c>
      <c r="P41" s="85">
        <f t="shared" ref="P41:P49" ca="1" si="27">IF(M41&gt;0,N41*100/M41,0)</f>
        <v>86.795576563884637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329938.98</v>
      </c>
      <c r="N43" s="92">
        <f t="shared" ca="1" si="28"/>
        <v>286372.44</v>
      </c>
      <c r="O43" s="92">
        <f t="shared" ca="1" si="26"/>
        <v>97.604785276073613</v>
      </c>
      <c r="P43" s="92">
        <f t="shared" ca="1" si="27"/>
        <v>86.795576563884637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293400</v>
      </c>
      <c r="M44" s="38">
        <f t="shared" ca="1" si="29"/>
        <v>329938.98</v>
      </c>
      <c r="N44" s="38">
        <f t="shared" ca="1" si="29"/>
        <v>286372.44</v>
      </c>
      <c r="O44" s="38">
        <f t="shared" ca="1" si="26"/>
        <v>97.604785276073613</v>
      </c>
      <c r="P44" s="38">
        <f t="shared" ca="1" si="27"/>
        <v>86.795576563884637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IFERROR(__xludf.DUMMYFUNCTION("IMPORTRANGE(""https://docs.google.com/spreadsheets/d/1MeEWN-I1oV_STSDYn1IFDPWt_1FKiwhDph83XaGc0o0/edit?usp=sharing"",""งบพรบ!M60"")"),293400)</f>
        <v>293400</v>
      </c>
      <c r="M46" s="45">
        <f ca="1">IFERROR(__xludf.DUMMYFUNCTION("IMPORTRANGE(""https://docs.google.com/spreadsheets/d/1MeEWN-I1oV_STSDYn1IFDPWt_1FKiwhDph83XaGc0o0/edit?usp=sharing"",""งบพรบ!R60"")"),329938.98)</f>
        <v>329938.98</v>
      </c>
      <c r="N46" s="45">
        <f ca="1">IFERROR(__xludf.DUMMYFUNCTION("IMPORTRANGE(""https://docs.google.com/spreadsheets/d/1MeEWN-I1oV_STSDYn1IFDPWt_1FKiwhDph83XaGc0o0/edit?usp=sharing"",""งบพรบ!T60"")"),286372.44)</f>
        <v>286372.44</v>
      </c>
      <c r="O46" s="45">
        <f t="shared" ca="1" si="26"/>
        <v>97.604785276073613</v>
      </c>
      <c r="P46" s="45">
        <f t="shared" ca="1" si="27"/>
        <v>86.795576563884637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90" t="s">
        <v>28</v>
      </c>
      <c r="B50" s="780"/>
      <c r="C50" s="780"/>
      <c r="D50" s="780"/>
      <c r="E50" s="780"/>
      <c r="F50" s="780"/>
      <c r="G50" s="77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91" t="s">
        <v>29</v>
      </c>
      <c r="C51" s="788"/>
      <c r="D51" s="788"/>
      <c r="E51" s="788"/>
      <c r="F51" s="788"/>
      <c r="G51" s="7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80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566800</v>
      </c>
      <c r="M53" s="115">
        <f t="shared" ca="1" si="31"/>
        <v>626320</v>
      </c>
      <c r="N53" s="115">
        <f t="shared" ca="1" si="31"/>
        <v>534232.46</v>
      </c>
      <c r="O53" s="115">
        <f t="shared" ref="O53:O61" ca="1" si="32">IF(L53&gt;0,N53*100/L53,0)</f>
        <v>94.254139026111503</v>
      </c>
      <c r="P53" s="115">
        <f t="shared" ref="P53:P61" ca="1" si="33">IF(M53&gt;0,N53*100/M53,0)</f>
        <v>85.29704623834462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566800</v>
      </c>
      <c r="M55" s="122">
        <f t="shared" ca="1" si="34"/>
        <v>626320</v>
      </c>
      <c r="N55" s="122">
        <f t="shared" ca="1" si="34"/>
        <v>534232.46</v>
      </c>
      <c r="O55" s="122">
        <f t="shared" ca="1" si="32"/>
        <v>94.254139026111503</v>
      </c>
      <c r="P55" s="122">
        <f t="shared" ca="1" si="33"/>
        <v>85.29704623834462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566800</v>
      </c>
      <c r="M56" s="38">
        <f t="shared" ca="1" si="35"/>
        <v>626320</v>
      </c>
      <c r="N56" s="38">
        <f t="shared" ca="1" si="35"/>
        <v>534232.46</v>
      </c>
      <c r="O56" s="38">
        <f t="shared" ca="1" si="32"/>
        <v>94.254139026111503</v>
      </c>
      <c r="P56" s="38">
        <f t="shared" ca="1" si="33"/>
        <v>85.29704623834462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IFERROR(__xludf.DUMMYFUNCTION("IMPORTRANGE(""https://docs.google.com/spreadsheets/d/1MeEWN-I1oV_STSDYn1IFDPWt_1FKiwhDph83XaGc0o0/edit?usp=sharing"",""งบพรบ!W60"")"),566800)</f>
        <v>566800</v>
      </c>
      <c r="M58" s="45">
        <f ca="1">IFERROR(__xludf.DUMMYFUNCTION("IMPORTRANGE(""https://docs.google.com/spreadsheets/d/1MeEWN-I1oV_STSDYn1IFDPWt_1FKiwhDph83XaGc0o0/edit?usp=sharing"",""งบพรบ!AB60"")"),626320)</f>
        <v>626320</v>
      </c>
      <c r="N58" s="45">
        <f ca="1">IFERROR(__xludf.DUMMYFUNCTION("IMPORTRANGE(""https://docs.google.com/spreadsheets/d/1MeEWN-I1oV_STSDYn1IFDPWt_1FKiwhDph83XaGc0o0/edit?usp=sharing"",""งบพรบ!AD60"")"),534232.46)</f>
        <v>534232.46</v>
      </c>
      <c r="O58" s="45">
        <f t="shared" ca="1" si="32"/>
        <v>94.254139026111503</v>
      </c>
      <c r="P58" s="45">
        <f t="shared" ca="1" si="33"/>
        <v>85.29704623834462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801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IFERROR(__xludf.DUMMYFUNCTION("IMPORTRANGE(""https://docs.google.com/spreadsheets/d/1MeEWN-I1oV_STSDYn1IFDPWt_1FKiwhDph83XaGc0o0/edit?usp=sharing"",""งบพรบ!AG60"")"),0)</f>
        <v>0</v>
      </c>
      <c r="M71" s="45">
        <f ca="1">IFERROR(__xludf.DUMMYFUNCTION("IMPORTRANGE(""https://docs.google.com/spreadsheets/d/1MeEWN-I1oV_STSDYn1IFDPWt_1FKiwhDph83XaGc0o0/edit?usp=sharing"",""งบพรบ!AL60"")"),0)</f>
        <v>0</v>
      </c>
      <c r="N71" s="45">
        <f ca="1">IFERROR(__xludf.DUMMYFUNCTION("IMPORTRANGE(""https://docs.google.com/spreadsheets/d/1MeEWN-I1oV_STSDYn1IFDPWt_1FKiwhDph83XaGc0o0/edit?usp=sharing"",""งบพรบ!AN60"")"),0)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IFERROR(__xludf.DUMMYFUNCTION("IMPORTRANGE(""https://docs.google.com/spreadsheets/d/1MeEWN-I1oV_STSDYn1IFDPWt_1FKiwhDph83XaGc0o0/edit?usp=sharing"",""งบพรบ!AJ60"")"),0)</f>
        <v>0</v>
      </c>
      <c r="M74" s="45">
        <f ca="1">IFERROR(__xludf.DUMMYFUNCTION("IMPORTRANGE(""https://docs.google.com/spreadsheets/d/1MeEWN-I1oV_STSDYn1IFDPWt_1FKiwhDph83XaGc0o0/edit?usp=sharing"",""งบพรบ!AM60"")"),0)</f>
        <v>0</v>
      </c>
      <c r="N74" s="45">
        <f ca="1">IFERROR(__xludf.DUMMYFUNCTION("IMPORTRANGE(""https://docs.google.com/spreadsheets/d/1MeEWN-I1oV_STSDYn1IFDPWt_1FKiwhDph83XaGc0o0/edit?usp=sharing"",""งบพรบ!AO60"")"),0)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802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IFERROR(__xludf.DUMMYFUNCTION("IMPORTRANGE(""https://docs.google.com/spreadsheets/d/1QqKyyYR6Q21VydFLVH3TRQUabQu_ym0Zz7PgGX0-kHA/edit?usp=sharing"",""แผน!H60"")"),0)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IFERROR(__xludf.DUMMYFUNCTION("IMPORTRANGE(""https://docs.google.com/spreadsheets/d/1QqKyyYR6Q21VydFLVH3TRQUabQu_ym0Zz7PgGX0-kHA/edit?usp=sharing"",""แผน!I60"")"),0)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IFERROR(__xludf.DUMMYFUNCTION("IMPORTRANGE(""https://docs.google.com/spreadsheets/d/1QqKyyYR6Q21VydFLVH3TRQUabQu_ym0Zz7PgGX0-kHA/edit?usp=sharing"",""แผน!F60"")"),0)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IFERROR(__xludf.DUMMYFUNCTION("IMPORTRANGE(""https://docs.google.com/spreadsheets/d/1QqKyyYR6Q21VydFLVH3TRQUabQu_ym0Zz7PgGX0-kHA/edit?usp=sharing"",""แผน!G60"")"),0)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IFERROR(__xludf.DUMMYFUNCTION("IMPORTRANGE(""https://docs.google.com/spreadsheets/d/1QqKyyYR6Q21VydFLVH3TRQUabQu_ym0Zz7PgGX0-kHA/edit?usp=sharing"",""แผน!D60"")"),0)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IFERROR(__xludf.DUMMYFUNCTION("IMPORTRANGE(""https://docs.google.com/spreadsheets/d/1QqKyyYR6Q21VydFLVH3TRQUabQu_ym0Zz7PgGX0-kHA/edit?usp=sharing"",""แผน!E60"")"),0)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IFERROR(__xludf.DUMMYFUNCTION("IMPORTRANGE(""https://docs.google.com/spreadsheets/d/1QqKyyYR6Q21VydFLVH3TRQUabQu_ym0Zz7PgGX0-kHA/edit?usp=sharing"",""แผน!J60"")"),0)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801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199040</v>
      </c>
      <c r="M88" s="154">
        <f t="shared" ca="1" si="49"/>
        <v>199040</v>
      </c>
      <c r="N88" s="154">
        <f t="shared" ca="1" si="49"/>
        <v>144120</v>
      </c>
      <c r="O88" s="154">
        <f t="shared" ref="O88:O96" ca="1" si="50">IF(L88&gt;0,N88*100/L88,0)</f>
        <v>72.407556270096464</v>
      </c>
      <c r="P88" s="154">
        <f t="shared" ref="P88:P96" ca="1" si="51">IF(M88&gt;0,N88*100/M88,0)</f>
        <v>72.407556270096464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199040</v>
      </c>
      <c r="M90" s="45">
        <f t="shared" ca="1" si="52"/>
        <v>199040</v>
      </c>
      <c r="N90" s="45">
        <f t="shared" ca="1" si="52"/>
        <v>144120</v>
      </c>
      <c r="O90" s="45">
        <f t="shared" ca="1" si="50"/>
        <v>72.407556270096464</v>
      </c>
      <c r="P90" s="45">
        <f t="shared" ca="1" si="51"/>
        <v>72.407556270096464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199040</v>
      </c>
      <c r="M91" s="38">
        <f t="shared" ca="1" si="53"/>
        <v>199040</v>
      </c>
      <c r="N91" s="38">
        <f t="shared" ca="1" si="53"/>
        <v>144120</v>
      </c>
      <c r="O91" s="38">
        <f t="shared" ca="1" si="50"/>
        <v>72.407556270096464</v>
      </c>
      <c r="P91" s="38">
        <f t="shared" ca="1" si="51"/>
        <v>72.407556270096464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IFERROR(__xludf.DUMMYFUNCTION("IMPORTRANGE(""https://docs.google.com/spreadsheets/d/1MeEWN-I1oV_STSDYn1IFDPWt_1FKiwhDph83XaGc0o0/edit?usp=sharing"",""งบพรบ!AQ60"")"),199040)</f>
        <v>199040</v>
      </c>
      <c r="M93" s="45">
        <f ca="1">IFERROR(__xludf.DUMMYFUNCTION("IMPORTRANGE(""https://docs.google.com/spreadsheets/d/1MeEWN-I1oV_STSDYn1IFDPWt_1FKiwhDph83XaGc0o0/edit?usp=sharing"",""งบพรบ!AV60"")"),199040)</f>
        <v>199040</v>
      </c>
      <c r="N93" s="45">
        <f ca="1">IFERROR(__xludf.DUMMYFUNCTION("IMPORTRANGE(""https://docs.google.com/spreadsheets/d/1MeEWN-I1oV_STSDYn1IFDPWt_1FKiwhDph83XaGc0o0/edit?usp=sharing"",""งบพรบ!AX60"")"),144120)</f>
        <v>144120</v>
      </c>
      <c r="O93" s="45">
        <f t="shared" ca="1" si="50"/>
        <v>72.407556270096464</v>
      </c>
      <c r="P93" s="45">
        <f t="shared" ca="1" si="51"/>
        <v>72.407556270096464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IFERROR(__xludf.DUMMYFUNCTION("IMPORTRANGE(""https://docs.google.com/spreadsheets/d/1MeEWN-I1oV_STSDYn1IFDPWt_1FKiwhDph83XaGc0o0/edit?usp=sharing"",""งบพรบ!AT60"")"),0)</f>
        <v>0</v>
      </c>
      <c r="M96" s="45">
        <f ca="1">IFERROR(__xludf.DUMMYFUNCTION("IMPORTRANGE(""https://docs.google.com/spreadsheets/d/1MeEWN-I1oV_STSDYn1IFDPWt_1FKiwhDph83XaGc0o0/edit?usp=sharing"",""งบพรบ!AW60"")"),0)</f>
        <v>0</v>
      </c>
      <c r="N96" s="45">
        <f ca="1">IFERROR(__xludf.DUMMYFUNCTION("IMPORTRANGE(""https://docs.google.com/spreadsheets/d/1MeEWN-I1oV_STSDYn1IFDPWt_1FKiwhDph83XaGc0o0/edit?usp=sharing"",""งบพรบ!AY60"")"),0)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802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IFERROR(__xludf.DUMMYFUNCTION("IMPORTRANGE(""https://docs.google.com/spreadsheets/d/1QqKyyYR6Q21VydFLVH3TRQUabQu_ym0Zz7PgGX0-kHA/edit?usp=sharing"",""แผน!K60"")"),30)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IFERROR(__xludf.DUMMYFUNCTION("IMPORTRANGE(""https://docs.google.com/spreadsheets/d/1QqKyyYR6Q21VydFLVH3TRQUabQu_ym0Zz7PgGX0-kHA/edit?usp=sharing"",""แผน!L60"")"),10)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IFERROR(__xludf.DUMMYFUNCTION("IMPORTRANGE(""https://docs.google.com/spreadsheets/d/1QqKyyYR6Q21VydFLVH3TRQUabQu_ym0Zz7PgGX0-kHA/edit?usp=sharing"",""แผน!M60"")"),1)</f>
        <v>1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IFERROR(__xludf.DUMMYFUNCTION("IMPORTRANGE(""https://docs.google.com/spreadsheets/d/1QqKyyYR6Q21VydFLVH3TRQUabQu_ym0Zz7PgGX0-kHA/edit?usp=sharing"",""แผน!N60"")"),30)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IFERROR(__xludf.DUMMYFUNCTION("IMPORTRANGE(""https://docs.google.com/spreadsheets/d/1QqKyyYR6Q21VydFLVH3TRQUabQu_ym0Zz7PgGX0-kHA/edit?usp=sharing"",""แผน!O60"")"),10)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IFERROR(__xludf.DUMMYFUNCTION("IMPORTRANGE(""https://docs.google.com/spreadsheets/d/1QqKyyYR6Q21VydFLVH3TRQUabQu_ym0Zz7PgGX0-kHA/edit?usp=sharing"",""แผน!O60"")"),10)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IFERROR(__xludf.DUMMYFUNCTION("IMPORTRANGE(""https://docs.google.com/spreadsheets/d/1QqKyyYR6Q21VydFLVH3TRQUabQu_ym0Zz7PgGX0-kHA/edit?usp=sharing"",""แผน!P60"")"),0)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IFERROR(__xludf.DUMMYFUNCTION("IMPORTRANGE(""https://docs.google.com/spreadsheets/d/1QqKyyYR6Q21VydFLVH3TRQUabQu_ym0Zz7PgGX0-kHA/edit?usp=sharing"",""แผน!P60"")"),0)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IFERROR(__xludf.DUMMYFUNCTION("IMPORTRANGE(""https://docs.google.com/spreadsheets/d/1QqKyyYR6Q21VydFLVH3TRQUabQu_ym0Zz7PgGX0-kHA/edit?usp=sharing"",""แผน!Q60"")"),1)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IFERROR(__xludf.DUMMYFUNCTION("IMPORTRANGE(""https://docs.google.com/spreadsheets/d/1QqKyyYR6Q21VydFLVH3TRQUabQu_ym0Zz7PgGX0-kHA/edit?usp=sharing"",""แผน!Q60"")"),1)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IFERROR(__xludf.DUMMYFUNCTION("IMPORTRANGE(""https://docs.google.com/spreadsheets/d/1QqKyyYR6Q21VydFLVH3TRQUabQu_ym0Zz7PgGX0-kHA/edit?usp=sharing"",""แผน!R60"")"),10)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IFERROR(__xludf.DUMMYFUNCTION("IMPORTRANGE(""https://docs.google.com/spreadsheets/d/1QqKyyYR6Q21VydFLVH3TRQUabQu_ym0Zz7PgGX0-kHA/edit?usp=sharing"",""แผน!R60"")"),10)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IFERROR(__xludf.DUMMYFUNCTION("IMPORTRANGE(""https://docs.google.com/spreadsheets/d/1QqKyyYR6Q21VydFLVH3TRQUabQu_ym0Zz7PgGX0-kHA/edit?usp=sharing"",""แผน!R60"")"),10)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IFERROR(__xludf.DUMMYFUNCTION("IMPORTRANGE(""https://docs.google.com/spreadsheets/d/1QqKyyYR6Q21VydFLVH3TRQUabQu_ym0Zz7PgGX0-kHA/edit?usp=sharing"",""แผน!S60"")"),0)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IFERROR(__xludf.DUMMYFUNCTION("IMPORTRANGE(""https://docs.google.com/spreadsheets/d/1QqKyyYR6Q21VydFLVH3TRQUabQu_ym0Zz7PgGX0-kHA/edit?usp=sharing"",""แผน!T60"")"),1)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801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IFERROR(__xludf.DUMMYFUNCTION("IMPORTRANGE(""https://docs.google.com/spreadsheets/d/1MeEWN-I1oV_STSDYn1IFDPWt_1FKiwhDph83XaGc0o0/edit?usp=sharing"",""งบพรบ!BA60"")"),0)</f>
        <v>0</v>
      </c>
      <c r="M124" s="45">
        <f ca="1">IFERROR(__xludf.DUMMYFUNCTION("IMPORTRANGE(""https://docs.google.com/spreadsheets/d/1MeEWN-I1oV_STSDYn1IFDPWt_1FKiwhDph83XaGc0o0/edit?usp=sharing"",""งบพรบ!BF60"")"),0)</f>
        <v>0</v>
      </c>
      <c r="N124" s="45">
        <f ca="1">IFERROR(__xludf.DUMMYFUNCTION("IMPORTRANGE(""https://docs.google.com/spreadsheets/d/1MeEWN-I1oV_STSDYn1IFDPWt_1FKiwhDph83XaGc0o0/edit?usp=sharing"",""งบพรบ!BH60"")"),0)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IFERROR(__xludf.DUMMYFUNCTION("IMPORTRANGE(""https://docs.google.com/spreadsheets/d/1MeEWN-I1oV_STSDYn1IFDPWt_1FKiwhDph83XaGc0o0/edit?usp=sharing"",""งบพรบ!BD60"")"),0)</f>
        <v>0</v>
      </c>
      <c r="M127" s="45">
        <f ca="1">IFERROR(__xludf.DUMMYFUNCTION("IMPORTRANGE(""https://docs.google.com/spreadsheets/d/1MeEWN-I1oV_STSDYn1IFDPWt_1FKiwhDph83XaGc0o0/edit?usp=sharing"",""งบพรบ!BG60"")"),0)</f>
        <v>0</v>
      </c>
      <c r="N127" s="45">
        <f ca="1">IFERROR(__xludf.DUMMYFUNCTION("IMPORTRANGE(""https://docs.google.com/spreadsheets/d/1MeEWN-I1oV_STSDYn1IFDPWt_1FKiwhDph83XaGc0o0/edit?usp=sharing"",""งบพรบ!BI60"")"),0)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801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IFERROR(__xludf.DUMMYFUNCTION("IMPORTRANGE(""https://docs.google.com/spreadsheets/d/1MeEWN-I1oV_STSDYn1IFDPWt_1FKiwhDph83XaGc0o0/edit?usp=sharing"",""งบพรบ!BK60"")"),0)</f>
        <v>0</v>
      </c>
      <c r="M137" s="45">
        <f ca="1">IFERROR(__xludf.DUMMYFUNCTION("IMPORTRANGE(""https://docs.google.com/spreadsheets/d/1MeEWN-I1oV_STSDYn1IFDPWt_1FKiwhDph83XaGc0o0/edit?usp=sharing"",""งบพรบ!BP60"")"),0)</f>
        <v>0</v>
      </c>
      <c r="N137" s="45">
        <f ca="1">IFERROR(__xludf.DUMMYFUNCTION("IMPORTRANGE(""https://docs.google.com/spreadsheets/d/1MeEWN-I1oV_STSDYn1IFDPWt_1FKiwhDph83XaGc0o0/edit?usp=sharing"",""งบพรบ!BR60"")"),0)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IFERROR(__xludf.DUMMYFUNCTION("IMPORTRANGE(""https://docs.google.com/spreadsheets/d/1MeEWN-I1oV_STSDYn1IFDPWt_1FKiwhDph83XaGc0o0/edit?usp=sharing"",""งบพรบ!BN60"")"),0)</f>
        <v>0</v>
      </c>
      <c r="M140" s="45">
        <f ca="1">IFERROR(__xludf.DUMMYFUNCTION("IMPORTRANGE(""https://docs.google.com/spreadsheets/d/1MeEWN-I1oV_STSDYn1IFDPWt_1FKiwhDph83XaGc0o0/edit?usp=sharing"",""งบพรบ!BQ60"")"),0)</f>
        <v>0</v>
      </c>
      <c r="N140" s="45">
        <f ca="1">IFERROR(__xludf.DUMMYFUNCTION("IMPORTRANGE(""https://docs.google.com/spreadsheets/d/1MeEWN-I1oV_STSDYn1IFDPWt_1FKiwhDph83XaGc0o0/edit?usp=sharing"",""งบพรบ!BS60"")"),0)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802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IFERROR(__xludf.DUMMYFUNCTION("IMPORTRANGE(""https://docs.google.com/spreadsheets/d/1QqKyyYR6Q21VydFLVH3TRQUabQu_ym0Zz7PgGX0-kHA/edit?usp=sharing"",""แผน!U60"")"),0)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IFERROR(__xludf.DUMMYFUNCTION("IMPORTRANGE(""https://docs.google.com/spreadsheets/d/1QqKyyYR6Q21VydFLVH3TRQUabQu_ym0Zz7PgGX0-kHA/edit?usp=sharing"",""แผน!V60"")"),0)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IFERROR(__xludf.DUMMYFUNCTION("IMPORTRANGE(""https://docs.google.com/spreadsheets/d/1QqKyyYR6Q21VydFLVH3TRQUabQu_ym0Zz7PgGX0-kHA/edit?usp=sharing"",""แผน!W60"")"),0)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803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801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IFERROR(__xludf.DUMMYFUNCTION("IMPORTRANGE(""https://docs.google.com/spreadsheets/d/1MeEWN-I1oV_STSDYn1IFDPWt_1FKiwhDph83XaGc0o0/edit?usp=sharing"",""งบพรบ!BU60"")"),0)</f>
        <v>0</v>
      </c>
      <c r="M154" s="45">
        <f ca="1">IFERROR(__xludf.DUMMYFUNCTION("IMPORTRANGE(""https://docs.google.com/spreadsheets/d/1MeEWN-I1oV_STSDYn1IFDPWt_1FKiwhDph83XaGc0o0/edit?usp=sharing"",""งบพรบ!BZ60"")"),0)</f>
        <v>0</v>
      </c>
      <c r="N154" s="45">
        <f ca="1">IFERROR(__xludf.DUMMYFUNCTION("IMPORTRANGE(""https://docs.google.com/spreadsheets/d/1MeEWN-I1oV_STSDYn1IFDPWt_1FKiwhDph83XaGc0o0/edit?usp=sharing"",""งบพรบ!CB60"")"),0)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IFERROR(__xludf.DUMMYFUNCTION("IMPORTRANGE(""https://docs.google.com/spreadsheets/d/1MeEWN-I1oV_STSDYn1IFDPWt_1FKiwhDph83XaGc0o0/edit?usp=sharing"",""งบพรบ!BX60"")"),0)</f>
        <v>0</v>
      </c>
      <c r="M157" s="45">
        <f ca="1">IFERROR(__xludf.DUMMYFUNCTION("IMPORTRANGE(""https://docs.google.com/spreadsheets/d/1MeEWN-I1oV_STSDYn1IFDPWt_1FKiwhDph83XaGc0o0/edit?usp=sharing"",""งบพรบ!CA60"")"),0)</f>
        <v>0</v>
      </c>
      <c r="N157" s="45">
        <f ca="1">IFERROR(__xludf.DUMMYFUNCTION("IMPORTRANGE(""https://docs.google.com/spreadsheets/d/1MeEWN-I1oV_STSDYn1IFDPWt_1FKiwhDph83XaGc0o0/edit?usp=sharing"",""งบพรบ!CC60"")"),0)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802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IFERROR(__xludf.DUMMYFUNCTION("IMPORTRANGE(""https://docs.google.com/spreadsheets/d/1QqKyyYR6Q21VydFLVH3TRQUabQu_ym0Zz7PgGX0-kHA/edit?usp=sharing"",""แผน!X60"")"),0)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804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801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31755</v>
      </c>
      <c r="N165" s="154">
        <f t="shared" ca="1" si="84"/>
        <v>31755</v>
      </c>
      <c r="O165" s="154">
        <f t="shared" ref="O165:O173" ca="1" si="85">IF(L165&gt;0,N165*100/L165,0)</f>
        <v>143.9809566991612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31755</v>
      </c>
      <c r="N167" s="45">
        <f t="shared" ca="1" si="87"/>
        <v>31755</v>
      </c>
      <c r="O167" s="45">
        <f t="shared" ca="1" si="85"/>
        <v>143.9809566991612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31755</v>
      </c>
      <c r="N168" s="38">
        <f t="shared" ca="1" si="88"/>
        <v>31755</v>
      </c>
      <c r="O168" s="38">
        <f t="shared" ca="1" si="85"/>
        <v>143.9809566991612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IFERROR(__xludf.DUMMYFUNCTION("IMPORTRANGE(""https://docs.google.com/spreadsheets/d/1MeEWN-I1oV_STSDYn1IFDPWt_1FKiwhDph83XaGc0o0/edit?usp=sharing"",""งบพรบ!CE60"")"),22055)</f>
        <v>22055</v>
      </c>
      <c r="M170" s="45">
        <f ca="1">IFERROR(__xludf.DUMMYFUNCTION("IMPORTRANGE(""https://docs.google.com/spreadsheets/d/1MeEWN-I1oV_STSDYn1IFDPWt_1FKiwhDph83XaGc0o0/edit?usp=sharing"",""งบพรบ!CJ60"")"),31755)</f>
        <v>31755</v>
      </c>
      <c r="N170" s="45">
        <f ca="1">IFERROR(__xludf.DUMMYFUNCTION("IMPORTRANGE(""https://docs.google.com/spreadsheets/d/1MeEWN-I1oV_STSDYn1IFDPWt_1FKiwhDph83XaGc0o0/edit?usp=sharing"",""งบพรบ!CL60"")"),31755)</f>
        <v>31755</v>
      </c>
      <c r="O170" s="45">
        <f t="shared" ca="1" si="85"/>
        <v>143.9809566991612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IFERROR(__xludf.DUMMYFUNCTION("IMPORTRANGE(""https://docs.google.com/spreadsheets/d/1MeEWN-I1oV_STSDYn1IFDPWt_1FKiwhDph83XaGc0o0/edit?usp=sharing"",""งบพรบ!CH60"")"),0)</f>
        <v>0</v>
      </c>
      <c r="M173" s="45">
        <f ca="1">IFERROR(__xludf.DUMMYFUNCTION("IMPORTRANGE(""https://docs.google.com/spreadsheets/d/1MeEWN-I1oV_STSDYn1IFDPWt_1FKiwhDph83XaGc0o0/edit?usp=sharing"",""งบพรบ!CK60"")"),0)</f>
        <v>0</v>
      </c>
      <c r="N173" s="45">
        <f ca="1">IFERROR(__xludf.DUMMYFUNCTION("IMPORTRANGE(""https://docs.google.com/spreadsheets/d/1MeEWN-I1oV_STSDYn1IFDPWt_1FKiwhDph83XaGc0o0/edit?usp=sharing"",""งบพรบ!CM60"")"),0)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802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IFERROR(__xludf.DUMMYFUNCTION("IMPORTRANGE(""https://docs.google.com/spreadsheets/d/1QqKyyYR6Q21VydFLVH3TRQUabQu_ym0Zz7PgGX0-kHA/edit?usp=sharing"",""แผน!Y60"")"),11)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15</v>
      </c>
      <c r="J180" s="242">
        <f t="shared" si="91"/>
        <v>15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801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449450</v>
      </c>
      <c r="M181" s="154">
        <f t="shared" ca="1" si="92"/>
        <v>455670</v>
      </c>
      <c r="N181" s="154">
        <f t="shared" ca="1" si="92"/>
        <v>341853.24</v>
      </c>
      <c r="O181" s="154">
        <f t="shared" ref="O181:O189" ca="1" si="93">IF(L181&gt;0,N181*100/L181,0)</f>
        <v>76.060349315830464</v>
      </c>
      <c r="P181" s="154">
        <f t="shared" ref="P181:P189" ca="1" si="94">IF(M181&gt;0,N181*100/M181,0)</f>
        <v>75.022108104549346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449450</v>
      </c>
      <c r="M183" s="45">
        <f t="shared" ca="1" si="95"/>
        <v>455670</v>
      </c>
      <c r="N183" s="45">
        <f t="shared" ca="1" si="95"/>
        <v>341853.24</v>
      </c>
      <c r="O183" s="45">
        <f t="shared" ca="1" si="93"/>
        <v>76.060349315830464</v>
      </c>
      <c r="P183" s="45">
        <f t="shared" ca="1" si="94"/>
        <v>75.022108104549346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449450</v>
      </c>
      <c r="M184" s="38">
        <f t="shared" ca="1" si="96"/>
        <v>455670</v>
      </c>
      <c r="N184" s="38">
        <f t="shared" ca="1" si="96"/>
        <v>341853.24</v>
      </c>
      <c r="O184" s="38">
        <f t="shared" ca="1" si="93"/>
        <v>76.060349315830464</v>
      </c>
      <c r="P184" s="38">
        <f t="shared" ca="1" si="94"/>
        <v>75.022108104549346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IFERROR(__xludf.DUMMYFUNCTION("IMPORTRANGE(""https://docs.google.com/spreadsheets/d/1MeEWN-I1oV_STSDYn1IFDPWt_1FKiwhDph83XaGc0o0/edit?usp=sharing"",""งบพรบ!CO60"")"),449450)</f>
        <v>449450</v>
      </c>
      <c r="M186" s="45">
        <f ca="1">IFERROR(__xludf.DUMMYFUNCTION("IMPORTRANGE(""https://docs.google.com/spreadsheets/d/1MeEWN-I1oV_STSDYn1IFDPWt_1FKiwhDph83XaGc0o0/edit?usp=sharing"",""งบพรบ!CT60"")"),455670)</f>
        <v>455670</v>
      </c>
      <c r="N186" s="45">
        <f ca="1">IFERROR(__xludf.DUMMYFUNCTION("IMPORTRANGE(""https://docs.google.com/spreadsheets/d/1MeEWN-I1oV_STSDYn1IFDPWt_1FKiwhDph83XaGc0o0/edit?usp=sharing"",""งบพรบ!CV60"")"),341853.24)</f>
        <v>341853.24</v>
      </c>
      <c r="O186" s="45">
        <f t="shared" ca="1" si="93"/>
        <v>76.060349315830464</v>
      </c>
      <c r="P186" s="45">
        <f t="shared" ca="1" si="94"/>
        <v>75.022108104549346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IFERROR(__xludf.DUMMYFUNCTION("IMPORTRANGE(""https://docs.google.com/spreadsheets/d/1MeEWN-I1oV_STSDYn1IFDPWt_1FKiwhDph83XaGc0o0/edit?usp=sharing"",""งบพรบ!CR60"")"),0)</f>
        <v>0</v>
      </c>
      <c r="M189" s="45">
        <f ca="1">IFERROR(__xludf.DUMMYFUNCTION("IMPORTRANGE(""https://docs.google.com/spreadsheets/d/1MeEWN-I1oV_STSDYn1IFDPWt_1FKiwhDph83XaGc0o0/edit?usp=sharing"",""งบพรบ!CU60"")"),0)</f>
        <v>0</v>
      </c>
      <c r="N189" s="45">
        <f ca="1">IFERROR(__xludf.DUMMYFUNCTION("IMPORTRANGE(""https://docs.google.com/spreadsheets/d/1MeEWN-I1oV_STSDYn1IFDPWt_1FKiwhDph83XaGc0o0/edit?usp=sharing"",""งบพรบ!CW60"")"),0)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5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IFERROR(__xludf.DUMMYFUNCTION("IMPORTRANGE(""https://docs.google.com/spreadsheets/d/1QqKyyYR6Q21VydFLVH3TRQUabQu_ym0Zz7PgGX0-kHA/edit?usp=sharing"",""แผน!Z60"")"),6000)</f>
        <v>6000</v>
      </c>
      <c r="M191" s="154"/>
      <c r="N191" s="264">
        <v>4500</v>
      </c>
      <c r="O191" s="154">
        <f ca="1">IF(L191&gt;0,N191*100/L191,0)</f>
        <v>75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802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IFERROR(__xludf.DUMMYFUNCTION("IMPORTRANGE(""https://docs.google.com/spreadsheets/d/1QqKyyYR6Q21VydFLVH3TRQUabQu_ym0Zz7PgGX0-kHA/edit?usp=sharing"",""แผน!AC60"")"),4)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150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150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5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IFERROR(__xludf.DUMMYFUNCTION("IMPORTRANGE(""https://docs.google.com/spreadsheets/d/1QqKyyYR6Q21VydFLVH3TRQUabQu_ym0Zz7PgGX0-kHA/edit?usp=sharing"",""แผน!AE60"")"),0)</f>
        <v>0</v>
      </c>
      <c r="M199" s="38"/>
      <c r="N199" s="271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2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IFERROR(__xludf.DUMMYFUNCTION("IMPORTRANGE(""https://docs.google.com/spreadsheets/d/1QqKyyYR6Q21VydFLVH3TRQUabQu_ym0Zz7PgGX0-kHA/edit?usp=sharing"",""แผน!AF60"")"),0)</f>
        <v>0</v>
      </c>
      <c r="M200" s="38"/>
      <c r="N200" s="271">
        <v>0</v>
      </c>
      <c r="O200" s="38"/>
      <c r="P200" s="38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9" hidden="1">
      <c r="A201" s="272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IFERROR(__xludf.DUMMYFUNCTION("IMPORTRANGE(""https://docs.google.com/spreadsheets/d/1QqKyyYR6Q21VydFLVH3TRQUabQu_ym0Zz7PgGX0-kHA/edit?usp=sharing"",""แผน!AG60"")"),0)</f>
        <v>0</v>
      </c>
      <c r="M201" s="38"/>
      <c r="N201" s="271">
        <v>0</v>
      </c>
      <c r="O201" s="38"/>
      <c r="P201" s="38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9" hidden="1">
      <c r="A202" s="272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IFERROR(__xludf.DUMMYFUNCTION("IMPORTRANGE(""https://docs.google.com/spreadsheets/d/1QqKyyYR6Q21VydFLVH3TRQUabQu_ym0Zz7PgGX0-kHA/edit?usp=sharing"",""แผน!AH60"")"),0)</f>
        <v>0</v>
      </c>
      <c r="M202" s="38"/>
      <c r="N202" s="271">
        <v>0</v>
      </c>
      <c r="O202" s="38"/>
      <c r="P202" s="38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9" hidden="1">
      <c r="A203" s="169"/>
      <c r="B203" s="170"/>
      <c r="C203" s="204" t="s">
        <v>16</v>
      </c>
      <c r="D203" s="802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IFERROR(__xludf.DUMMYFUNCTION("IMPORTRANGE(""https://docs.google.com/spreadsheets/d/1QqKyyYR6Q21VydFLVH3TRQUabQu_ym0Zz7PgGX0-kHA/edit?usp=sharing"",""แผน!AI60"")"),0)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76" t="s">
        <v>344</v>
      </c>
      <c r="F206" s="177"/>
      <c r="G206" s="178"/>
      <c r="H206" s="174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345</v>
      </c>
      <c r="F207" s="177"/>
      <c r="G207" s="178"/>
      <c r="H207" s="180" t="s">
        <v>66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8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5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IFERROR(__xludf.DUMMYFUNCTION("IMPORTRANGE(""https://docs.google.com/spreadsheets/d/1QqKyyYR6Q21VydFLVH3TRQUabQu_ym0Zz7PgGX0-kHA/edit?usp=sharing"",""แผน!AK60"")"),0)</f>
        <v>0</v>
      </c>
      <c r="M210" s="38"/>
      <c r="N210" s="271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2"/>
      <c r="B211" s="269"/>
      <c r="C211" s="279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IFERROR(__xludf.DUMMYFUNCTION("IMPORTRANGE(""https://docs.google.com/spreadsheets/d/1QqKyyYR6Q21VydFLVH3TRQUabQu_ym0Zz7PgGX0-kHA/edit?usp=sharing"",""แผน!AL60"")"),0)</f>
        <v>0</v>
      </c>
      <c r="M211" s="38"/>
      <c r="N211" s="271">
        <v>0</v>
      </c>
      <c r="O211" s="38"/>
      <c r="P211" s="38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9" hidden="1">
      <c r="A212" s="272"/>
      <c r="B212" s="269"/>
      <c r="C212" s="279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IFERROR(__xludf.DUMMYFUNCTION("IMPORTRANGE(""https://docs.google.com/spreadsheets/d/1QqKyyYR6Q21VydFLVH3TRQUabQu_ym0Zz7PgGX0-kHA/edit?usp=sharing"",""แผน!AM60"")"),0)</f>
        <v>0</v>
      </c>
      <c r="M212" s="38"/>
      <c r="N212" s="271">
        <v>0</v>
      </c>
      <c r="O212" s="38"/>
      <c r="P212" s="38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9" hidden="1">
      <c r="A213" s="169"/>
      <c r="B213" s="170"/>
      <c r="C213" s="279" t="s">
        <v>16</v>
      </c>
      <c r="D213" s="802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IFERROR(__xludf.DUMMYFUNCTION("IMPORTRANGE(""https://docs.google.com/spreadsheets/d/1QqKyyYR6Q21VydFLVH3TRQUabQu_ym0Zz7PgGX0-kHA/edit?usp=sharing"",""แผน!AN60"")"),0)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IFERROR(__xludf.DUMMYFUNCTION("IMPORTRANGE(""https://docs.google.com/spreadsheets/d/1QqKyyYR6Q21VydFLVH3TRQUabQu_ym0Zz7PgGX0-kHA/edit?usp=sharing"",""แผน!AN60"")"),0)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8"/>
      <c r="G216" s="248"/>
      <c r="H216" s="249" t="s">
        <v>109</v>
      </c>
      <c r="I216" s="260">
        <f t="shared" ref="I216:J216" ca="1" si="102">I224</f>
        <v>5000</v>
      </c>
      <c r="J216" s="260">
        <f t="shared" si="102"/>
        <v>0</v>
      </c>
      <c r="K216" s="261">
        <f t="shared" ca="1" si="101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5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5900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IFERROR(__xludf.DUMMYFUNCTION("IMPORTRANGE(""https://docs.google.com/spreadsheets/d/1QqKyyYR6Q21VydFLVH3TRQUabQu_ym0Zz7PgGX0-kHA/edit?usp=sharing"",""แผน!AP60"")"),3000)</f>
        <v>3000</v>
      </c>
      <c r="M218" s="38"/>
      <c r="N218" s="271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2"/>
      <c r="B219" s="269"/>
      <c r="C219" s="279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IFERROR(__xludf.DUMMYFUNCTION("IMPORTRANGE(""https://docs.google.com/spreadsheets/d/1QqKyyYR6Q21VydFLVH3TRQUabQu_ym0Zz7PgGX0-kHA/edit?usp=sharing"",""แผน!AQ60"")"),2900)</f>
        <v>2900</v>
      </c>
      <c r="M219" s="38"/>
      <c r="N219" s="271">
        <v>0</v>
      </c>
      <c r="O219" s="38"/>
      <c r="P219" s="38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9">
      <c r="A220" s="272"/>
      <c r="B220" s="269"/>
      <c r="C220" s="279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IFERROR(__xludf.DUMMYFUNCTION("IMPORTRANGE(""https://docs.google.com/spreadsheets/d/1QqKyyYR6Q21VydFLVH3TRQUabQu_ym0Zz7PgGX0-kHA/edit?usp=sharing"",""แผน!AR60"")"),0)</f>
        <v>0</v>
      </c>
      <c r="M220" s="38"/>
      <c r="N220" s="271">
        <v>0</v>
      </c>
      <c r="O220" s="38"/>
      <c r="P220" s="38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9">
      <c r="A221" s="169"/>
      <c r="B221" s="170"/>
      <c r="C221" s="279" t="s">
        <v>16</v>
      </c>
      <c r="D221" s="802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IFERROR(__xludf.DUMMYFUNCTION("IMPORTRANGE(""https://docs.google.com/spreadsheets/d/1QqKyyYR6Q21VydFLVH3TRQUabQu_ym0Zz7PgGX0-kHA/edit?usp=sharing"",""แผน!AT60"")"),5000)</f>
        <v>5000</v>
      </c>
      <c r="J223" s="181">
        <v>5000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IFERROR(__xludf.DUMMYFUNCTION("IMPORTRANGE(""https://docs.google.com/spreadsheets/d/1QqKyyYR6Q21VydFLVH3TRQUabQu_ym0Zz7PgGX0-kHA/edit?usp=sharing"",""แผน!AT60"")"),5000)</f>
        <v>5000</v>
      </c>
      <c r="J224" s="181">
        <v>0</v>
      </c>
      <c r="K224" s="162">
        <f t="shared" ca="1" si="103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IFERROR(__xludf.DUMMYFUNCTION("IMPORTRANGE(""https://docs.google.com/spreadsheets/d/1QqKyyYR6Q21VydFLVH3TRQUabQu_ym0Zz7PgGX0-kHA/edit?usp=sharing"",""แผน!AS60"")"),0)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15</v>
      </c>
      <c r="J226" s="330">
        <f t="shared" si="104"/>
        <v>15</v>
      </c>
      <c r="K226" s="331">
        <f t="shared" ca="1" si="103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6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56550</v>
      </c>
      <c r="M227" s="341"/>
      <c r="N227" s="341">
        <f t="shared" ref="N227:N231" si="106">N238+N249</f>
        <v>45960</v>
      </c>
      <c r="O227" s="807"/>
      <c r="P227" s="80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20000</v>
      </c>
      <c r="M228" s="45"/>
      <c r="N228" s="45">
        <f t="shared" si="106"/>
        <v>9410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16550</v>
      </c>
      <c r="M229" s="45"/>
      <c r="N229" s="45">
        <f t="shared" si="106"/>
        <v>16550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10000</v>
      </c>
      <c r="M230" s="45"/>
      <c r="N230" s="45">
        <f t="shared" si="106"/>
        <v>10000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10000</v>
      </c>
      <c r="M231" s="45"/>
      <c r="N231" s="45">
        <f t="shared" si="106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15</v>
      </c>
      <c r="J233" s="44">
        <f t="shared" si="107"/>
        <v>15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15</v>
      </c>
      <c r="J235" s="44">
        <f t="shared" si="108"/>
        <v>15</v>
      </c>
      <c r="K235" s="45">
        <f t="shared" ref="K235:K237" si="109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1</v>
      </c>
      <c r="J236" s="44">
        <f t="shared" si="108"/>
        <v>1</v>
      </c>
      <c r="K236" s="45">
        <f t="shared" si="109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342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15</v>
      </c>
      <c r="J237" s="260">
        <f t="shared" si="110"/>
        <v>15</v>
      </c>
      <c r="K237" s="261">
        <f t="shared" ca="1" si="109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801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56550</v>
      </c>
      <c r="M238" s="154"/>
      <c r="N238" s="154">
        <f>N239+N240+N241+N242</f>
        <v>45960</v>
      </c>
      <c r="O238" s="154">
        <f ca="1">IF(L238&gt;0,N238*100/L238,0)</f>
        <v>81.273209549071623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1"/>
      <c r="B239" s="302"/>
      <c r="C239" s="303"/>
      <c r="D239" s="304" t="s">
        <v>97</v>
      </c>
      <c r="E239" s="303"/>
      <c r="F239" s="303"/>
      <c r="G239" s="305"/>
      <c r="H239" s="306" t="s">
        <v>12</v>
      </c>
      <c r="I239" s="307"/>
      <c r="J239" s="307"/>
      <c r="K239" s="308"/>
      <c r="L239" s="270">
        <f ca="1">IFERROR(__xludf.DUMMYFUNCTION("IMPORTRANGE(""https://docs.google.com/spreadsheets/d/1QqKyyYR6Q21VydFLVH3TRQUabQu_ym0Zz7PgGX0-kHA/edit?usp=sharing"",""แผน!AV60"")"),20000)</f>
        <v>20000</v>
      </c>
      <c r="M239" s="270"/>
      <c r="N239" s="808">
        <v>9410</v>
      </c>
      <c r="O239" s="270"/>
      <c r="P239" s="27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9">
      <c r="A240" s="309"/>
      <c r="B240" s="302"/>
      <c r="C240" s="310"/>
      <c r="D240" s="304" t="s">
        <v>98</v>
      </c>
      <c r="E240" s="303"/>
      <c r="F240" s="303"/>
      <c r="G240" s="305"/>
      <c r="H240" s="306" t="s">
        <v>12</v>
      </c>
      <c r="I240" s="311"/>
      <c r="J240" s="311"/>
      <c r="K240" s="270"/>
      <c r="L240" s="270">
        <f ca="1">IFERROR(__xludf.DUMMYFUNCTION("IMPORTRANGE(""https://docs.google.com/spreadsheets/d/1QqKyyYR6Q21VydFLVH3TRQUabQu_ym0Zz7PgGX0-kHA/edit?usp=sharing"",""แผน!AW60"")"),16550)</f>
        <v>16550</v>
      </c>
      <c r="M240" s="270"/>
      <c r="N240" s="808">
        <v>16550</v>
      </c>
      <c r="O240" s="270"/>
      <c r="P240" s="270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2"/>
      <c r="C241" s="310"/>
      <c r="D241" s="304" t="s">
        <v>116</v>
      </c>
      <c r="E241" s="303"/>
      <c r="F241" s="303"/>
      <c r="G241" s="305"/>
      <c r="H241" s="306" t="s">
        <v>12</v>
      </c>
      <c r="I241" s="311"/>
      <c r="J241" s="311"/>
      <c r="K241" s="270"/>
      <c r="L241" s="270">
        <f ca="1">IFERROR(__xludf.DUMMYFUNCTION("IMPORTRANGE(""https://docs.google.com/spreadsheets/d/1QqKyyYR6Q21VydFLVH3TRQUabQu_ym0Zz7PgGX0-kHA/edit?usp=sharing"",""แผน!AX60"")"),10000)</f>
        <v>10000</v>
      </c>
      <c r="M241" s="270"/>
      <c r="N241" s="808">
        <v>10000</v>
      </c>
      <c r="O241" s="270"/>
      <c r="P241" s="270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2"/>
      <c r="C242" s="310"/>
      <c r="D242" s="304" t="s">
        <v>100</v>
      </c>
      <c r="E242" s="303"/>
      <c r="F242" s="303"/>
      <c r="G242" s="305"/>
      <c r="H242" s="306" t="s">
        <v>12</v>
      </c>
      <c r="I242" s="311"/>
      <c r="J242" s="311"/>
      <c r="K242" s="270"/>
      <c r="L242" s="270">
        <f ca="1">IFERROR(__xludf.DUMMYFUNCTION("IMPORTRANGE(""https://docs.google.com/spreadsheets/d/1QqKyyYR6Q21VydFLVH3TRQUabQu_ym0Zz7PgGX0-kHA/edit?usp=sharing"",""แผน!AY60"")"),10000)</f>
        <v>10000</v>
      </c>
      <c r="M242" s="270"/>
      <c r="N242" s="808">
        <v>10000</v>
      </c>
      <c r="O242" s="270"/>
      <c r="P242" s="270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9" t="s">
        <v>16</v>
      </c>
      <c r="D243" s="802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IFERROR(__xludf.DUMMYFUNCTION("IMPORTRANGE(""https://docs.google.com/spreadsheets/d/1QqKyyYR6Q21VydFLVH3TRQUabQu_ym0Zz7PgGX0-kHA/edit?usp=sharing"",""แผน!BE60"")"),15)</f>
        <v>15</v>
      </c>
      <c r="J244" s="181">
        <v>15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9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15</v>
      </c>
      <c r="J246" s="181">
        <v>15</v>
      </c>
      <c r="K246" s="38">
        <f t="shared" ref="K246:K248" si="111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1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5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1"/>
      <c r="B250" s="302"/>
      <c r="C250" s="303"/>
      <c r="D250" s="304" t="s">
        <v>97</v>
      </c>
      <c r="E250" s="303"/>
      <c r="F250" s="303"/>
      <c r="G250" s="305"/>
      <c r="H250" s="306" t="s">
        <v>12</v>
      </c>
      <c r="I250" s="307"/>
      <c r="J250" s="307"/>
      <c r="K250" s="308"/>
      <c r="L250" s="270">
        <f ca="1">IFERROR(__xludf.DUMMYFUNCTION("IMPORTRANGE(""https://docs.google.com/spreadsheets/d/1QqKyyYR6Q21VydFLVH3TRQUabQu_ym0Zz7PgGX0-kHA/edit?usp=sharing"",""แผน!AZ60"")"),0)</f>
        <v>0</v>
      </c>
      <c r="M250" s="270"/>
      <c r="N250" s="808">
        <v>0</v>
      </c>
      <c r="O250" s="270"/>
      <c r="P250" s="27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9" hidden="1">
      <c r="A251" s="309"/>
      <c r="B251" s="302"/>
      <c r="C251" s="310"/>
      <c r="D251" s="304" t="s">
        <v>98</v>
      </c>
      <c r="E251" s="303"/>
      <c r="F251" s="303"/>
      <c r="G251" s="305"/>
      <c r="H251" s="306" t="s">
        <v>12</v>
      </c>
      <c r="I251" s="311"/>
      <c r="J251" s="311"/>
      <c r="K251" s="270"/>
      <c r="L251" s="270">
        <f ca="1">IFERROR(__xludf.DUMMYFUNCTION("IMPORTRANGE(""https://docs.google.com/spreadsheets/d/1QqKyyYR6Q21VydFLVH3TRQUabQu_ym0Zz7PgGX0-kHA/edit?usp=sharing"",""แผน!BA60"")"),0)</f>
        <v>0</v>
      </c>
      <c r="M251" s="270"/>
      <c r="N251" s="808">
        <v>0</v>
      </c>
      <c r="O251" s="270"/>
      <c r="P251" s="270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2"/>
      <c r="C252" s="310"/>
      <c r="D252" s="304" t="s">
        <v>116</v>
      </c>
      <c r="E252" s="303"/>
      <c r="F252" s="303"/>
      <c r="G252" s="305"/>
      <c r="H252" s="306" t="s">
        <v>12</v>
      </c>
      <c r="I252" s="311"/>
      <c r="J252" s="311"/>
      <c r="K252" s="270"/>
      <c r="L252" s="270">
        <f ca="1">IFERROR(__xludf.DUMMYFUNCTION("IMPORTRANGE(""https://docs.google.com/spreadsheets/d/1QqKyyYR6Q21VydFLVH3TRQUabQu_ym0Zz7PgGX0-kHA/edit?usp=sharing"",""แผน!BB60"")"),0)</f>
        <v>0</v>
      </c>
      <c r="M252" s="270"/>
      <c r="N252" s="808">
        <v>0</v>
      </c>
      <c r="O252" s="270"/>
      <c r="P252" s="270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2"/>
      <c r="C253" s="310"/>
      <c r="D253" s="304" t="s">
        <v>100</v>
      </c>
      <c r="E253" s="303"/>
      <c r="F253" s="303"/>
      <c r="G253" s="305"/>
      <c r="H253" s="306" t="s">
        <v>12</v>
      </c>
      <c r="I253" s="311"/>
      <c r="J253" s="311"/>
      <c r="K253" s="270"/>
      <c r="L253" s="270">
        <f ca="1">IFERROR(__xludf.DUMMYFUNCTION("IMPORTRANGE(""https://docs.google.com/spreadsheets/d/1QqKyyYR6Q21VydFLVH3TRQUabQu_ym0Zz7PgGX0-kHA/edit?usp=sharing"",""แผน!BC60"")"),0)</f>
        <v>0</v>
      </c>
      <c r="M253" s="270"/>
      <c r="N253" s="808">
        <v>0</v>
      </c>
      <c r="O253" s="270"/>
      <c r="P253" s="270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9" t="s">
        <v>16</v>
      </c>
      <c r="D254" s="802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IFERROR(__xludf.DUMMYFUNCTION("IMPORTRANGE(""https://docs.google.com/spreadsheets/d/1QqKyyYR6Q21VydFLVH3TRQUabQu_ym0Zz7PgGX0-kHA/edit?usp=sharing"",""แผน!BF60"")"),0)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9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20</v>
      </c>
      <c r="J260" s="242">
        <f t="shared" si="114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801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25000</v>
      </c>
      <c r="M261" s="154">
        <f t="shared" ca="1" si="115"/>
        <v>25000</v>
      </c>
      <c r="N261" s="154">
        <f t="shared" ca="1" si="115"/>
        <v>21880</v>
      </c>
      <c r="O261" s="154">
        <f t="shared" ref="O261:O269" ca="1" si="116">IF(L261&gt;0,N261*100/L261,0)</f>
        <v>87.52</v>
      </c>
      <c r="P261" s="154">
        <f t="shared" ref="P261:P269" ca="1" si="117">IF(M261&gt;0,N261*100/M261,0)</f>
        <v>87.52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25000</v>
      </c>
      <c r="M263" s="45">
        <f t="shared" ca="1" si="118"/>
        <v>25000</v>
      </c>
      <c r="N263" s="45">
        <f t="shared" ca="1" si="118"/>
        <v>21880</v>
      </c>
      <c r="O263" s="45">
        <f t="shared" ca="1" si="116"/>
        <v>87.52</v>
      </c>
      <c r="P263" s="45">
        <f t="shared" ca="1" si="117"/>
        <v>87.52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25000</v>
      </c>
      <c r="M264" s="38">
        <f t="shared" ca="1" si="119"/>
        <v>25000</v>
      </c>
      <c r="N264" s="38">
        <f t="shared" ca="1" si="119"/>
        <v>21880</v>
      </c>
      <c r="O264" s="38">
        <f t="shared" ca="1" si="116"/>
        <v>87.52</v>
      </c>
      <c r="P264" s="38">
        <f t="shared" ca="1" si="117"/>
        <v>87.52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IFERROR(__xludf.DUMMYFUNCTION("IMPORTRANGE(""https://docs.google.com/spreadsheets/d/1MeEWN-I1oV_STSDYn1IFDPWt_1FKiwhDph83XaGc0o0/edit?usp=sharing"",""งบพรบ!CY60"")"),25000)</f>
        <v>25000</v>
      </c>
      <c r="M266" s="45">
        <f ca="1">IFERROR(__xludf.DUMMYFUNCTION("IMPORTRANGE(""https://docs.google.com/spreadsheets/d/1MeEWN-I1oV_STSDYn1IFDPWt_1FKiwhDph83XaGc0o0/edit?usp=sharing"",""งบพรบ!DD60"")"),25000)</f>
        <v>25000</v>
      </c>
      <c r="N266" s="45">
        <f ca="1">IFERROR(__xludf.DUMMYFUNCTION("IMPORTRANGE(""https://docs.google.com/spreadsheets/d/1MeEWN-I1oV_STSDYn1IFDPWt_1FKiwhDph83XaGc0o0/edit?usp=sharing"",""งบพรบ!DF60"")"),21880)</f>
        <v>21880</v>
      </c>
      <c r="O266" s="45">
        <f t="shared" ca="1" si="116"/>
        <v>87.52</v>
      </c>
      <c r="P266" s="45">
        <f t="shared" ca="1" si="117"/>
        <v>87.52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IFERROR(__xludf.DUMMYFUNCTION("IMPORTRANGE(""https://docs.google.com/spreadsheets/d/1MeEWN-I1oV_STSDYn1IFDPWt_1FKiwhDph83XaGc0o0/edit?usp=sharing"",""งบพรบ!DB60"")"),0)</f>
        <v>0</v>
      </c>
      <c r="M269" s="45">
        <f ca="1">IFERROR(__xludf.DUMMYFUNCTION("IMPORTRANGE(""https://docs.google.com/spreadsheets/d/1MeEWN-I1oV_STSDYn1IFDPWt_1FKiwhDph83XaGc0o0/edit?usp=sharing"",""งบพรบ!DE60"")"),0)</f>
        <v>0</v>
      </c>
      <c r="N269" s="45">
        <f ca="1">IFERROR(__xludf.DUMMYFUNCTION("IMPORTRANGE(""https://docs.google.com/spreadsheets/d/1MeEWN-I1oV_STSDYn1IFDPWt_1FKiwhDph83XaGc0o0/edit?usp=sharing"",""งบพรบ!DG60"")"),0)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802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IFERROR(__xludf.DUMMYFUNCTION("IMPORTRANGE(""https://docs.google.com/spreadsheets/d/1QqKyyYR6Q21VydFLVH3TRQUabQu_ym0Zz7PgGX0-kHA/edit?usp=sharing"",""แผน!EA60"")"),20)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810">
        <f t="shared" ref="I276:J276" ca="1" si="123">I287</f>
        <v>0</v>
      </c>
      <c r="J276" s="81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801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IFERROR(__xludf.DUMMYFUNCTION("IMPORTRANGE(""https://docs.google.com/spreadsheets/d/1MeEWN-I1oV_STSDYn1IFDPWt_1FKiwhDph83XaGc0o0/edit?usp=sharing"",""งบพรบ!DI60"")"),0)</f>
        <v>0</v>
      </c>
      <c r="M282" s="45">
        <f ca="1">IFERROR(__xludf.DUMMYFUNCTION("IMPORTRANGE(""https://docs.google.com/spreadsheets/d/1MeEWN-I1oV_STSDYn1IFDPWt_1FKiwhDph83XaGc0o0/edit?usp=sharing"",""งบพรบ!DN60"")"),0)</f>
        <v>0</v>
      </c>
      <c r="N282" s="45">
        <f ca="1">IFERROR(__xludf.DUMMYFUNCTION("IMPORTRANGE(""https://docs.google.com/spreadsheets/d/1MeEWN-I1oV_STSDYn1IFDPWt_1FKiwhDph83XaGc0o0/edit?usp=sharing"",""งบพรบ!DP60"")"),0)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IFERROR(__xludf.DUMMYFUNCTION("IMPORTRANGE(""https://docs.google.com/spreadsheets/d/1MeEWN-I1oV_STSDYn1IFDPWt_1FKiwhDph83XaGc0o0/edit?usp=sharing"",""งบพรบ!DL60"")"),0)</f>
        <v>0</v>
      </c>
      <c r="M285" s="45">
        <f ca="1">IFERROR(__xludf.DUMMYFUNCTION("IMPORTRANGE(""https://docs.google.com/spreadsheets/d/1MeEWN-I1oV_STSDYn1IFDPWt_1FKiwhDph83XaGc0o0/edit?usp=sharing"",""งบพรบ!DO60"")"),0)</f>
        <v>0</v>
      </c>
      <c r="N285" s="45">
        <f ca="1">IFERROR(__xludf.DUMMYFUNCTION("IMPORTRANGE(""https://docs.google.com/spreadsheets/d/1MeEWN-I1oV_STSDYn1IFDPWt_1FKiwhDph83XaGc0o0/edit?usp=sharing"",""งบพรบ!DQ60"")"),0)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802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IFERROR(__xludf.DUMMYFUNCTION("IMPORTRANGE(""https://docs.google.com/spreadsheets/d/1QqKyyYR6Q21VydFLVH3TRQUabQu_ym0Zz7PgGX0-kHA/edit?usp=sharing"",""แผน!EC60"")"),0)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IFERROR(__xludf.DUMMYFUNCTION("IMPORTRANGE(""https://docs.google.com/spreadsheets/d/1QqKyyYR6Q21VydFLVH3TRQUabQu_ym0Zz7PgGX0-kHA/edit?usp=sharing"",""แผน!EB60"")"),0)</f>
        <v>0</v>
      </c>
      <c r="J288" s="190">
        <f ca="1">IF(AND(J291&gt;=I288,J294&gt;=I288),J294,0)</f>
        <v>0</v>
      </c>
      <c r="K288" s="390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IFERROR(__xludf.DUMMYFUNCTION("IMPORTRANGE(""https://docs.google.com/spreadsheets/d/1QqKyyYR6Q21VydFLVH3TRQUabQu_ym0Zz7PgGX0-kHA/edit?usp=sharing"",""แผน!EB60"")"),0)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IFERROR(__xludf.DUMMYFUNCTION("IMPORTRANGE(""https://docs.google.com/spreadsheets/d/1QqKyyYR6Q21VydFLVH3TRQUabQu_ym0Zz7PgGX0-kHA/edit?usp=sharing"",""แผน!EB60"")"),0)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4"/>
      <c r="G292" s="275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IFERROR(__xludf.DUMMYFUNCTION("IMPORTRANGE(""https://docs.google.com/spreadsheets/d/1QqKyyYR6Q21VydFLVH3TRQUabQu_ym0Zz7PgGX0-kHA/edit?usp=sharing"",""แผน!EB60"")"),0)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IFERROR(__xludf.DUMMYFUNCTION("IMPORTRANGE(""https://docs.google.com/spreadsheets/d/1QqKyyYR6Q21VydFLVH3TRQUabQu_ym0Zz7PgGX0-kHA/edit?usp=sharing"",""แผน!EB60"")"),0)</f>
        <v>0</v>
      </c>
      <c r="J294" s="401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 hidden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0</v>
      </c>
      <c r="J297" s="421">
        <f t="shared" si="133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801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0</v>
      </c>
      <c r="M298" s="154">
        <f t="shared" ca="1" si="134"/>
        <v>0</v>
      </c>
      <c r="N298" s="154">
        <f t="shared" ca="1" si="134"/>
        <v>0</v>
      </c>
      <c r="O298" s="154">
        <f t="shared" ref="O298:O306" ca="1" si="135">IF(L298&gt;0,N298*100/L298,0)</f>
        <v>0</v>
      </c>
      <c r="P298" s="154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0</v>
      </c>
      <c r="M300" s="45">
        <f t="shared" ca="1" si="137"/>
        <v>0</v>
      </c>
      <c r="N300" s="45">
        <f t="shared" ca="1" si="137"/>
        <v>0</v>
      </c>
      <c r="O300" s="45">
        <f t="shared" ca="1" si="135"/>
        <v>0</v>
      </c>
      <c r="P300" s="45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0</v>
      </c>
      <c r="M301" s="38">
        <f t="shared" ca="1" si="138"/>
        <v>0</v>
      </c>
      <c r="N301" s="38">
        <f t="shared" ca="1" si="138"/>
        <v>0</v>
      </c>
      <c r="O301" s="38">
        <f t="shared" ca="1" si="135"/>
        <v>0</v>
      </c>
      <c r="P301" s="3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IFERROR(__xludf.DUMMYFUNCTION("IMPORTRANGE(""https://docs.google.com/spreadsheets/d/1MeEWN-I1oV_STSDYn1IFDPWt_1FKiwhDph83XaGc0o0/edit?usp=sharing"",""งบพรบ!DS60"")"),0)</f>
        <v>0</v>
      </c>
      <c r="M303" s="45">
        <f ca="1">IFERROR(__xludf.DUMMYFUNCTION("IMPORTRANGE(""https://docs.google.com/spreadsheets/d/1MeEWN-I1oV_STSDYn1IFDPWt_1FKiwhDph83XaGc0o0/edit?usp=sharing"",""งบพรบ!DX60"")"),0)</f>
        <v>0</v>
      </c>
      <c r="N303" s="45">
        <f ca="1">IFERROR(__xludf.DUMMYFUNCTION("IMPORTRANGE(""https://docs.google.com/spreadsheets/d/1MeEWN-I1oV_STSDYn1IFDPWt_1FKiwhDph83XaGc0o0/edit?usp=sharing"",""งบพรบ!DZ60"")"),0)</f>
        <v>0</v>
      </c>
      <c r="O303" s="45">
        <f t="shared" ca="1" si="135"/>
        <v>0</v>
      </c>
      <c r="P303" s="45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IFERROR(__xludf.DUMMYFUNCTION("IMPORTRANGE(""https://docs.google.com/spreadsheets/d/1MeEWN-I1oV_STSDYn1IFDPWt_1FKiwhDph83XaGc0o0/edit?usp=sharing"",""งบพรบ!DV60"")"),0)</f>
        <v>0</v>
      </c>
      <c r="M306" s="45">
        <f ca="1">IFERROR(__xludf.DUMMYFUNCTION("IMPORTRANGE(""https://docs.google.com/spreadsheets/d/1MeEWN-I1oV_STSDYn1IFDPWt_1FKiwhDph83XaGc0o0/edit?usp=sharing"",""งบพรบ!DY60"")"),0)</f>
        <v>0</v>
      </c>
      <c r="N306" s="45">
        <f ca="1">IFERROR(__xludf.DUMMYFUNCTION("IMPORTRANGE(""https://docs.google.com/spreadsheets/d/1MeEWN-I1oV_STSDYn1IFDPWt_1FKiwhDph83XaGc0o0/edit?usp=sharing"",""งบพรบ!EA60"")"),0)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802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IFERROR(__xludf.DUMMYFUNCTION("IMPORTRANGE(""https://docs.google.com/spreadsheets/d/1QqKyyYR6Q21VydFLVH3TRQUabQu_ym0Zz7PgGX0-kHA/edit?usp=sharing"",""แผน!ED60"")"),0)</f>
        <v>0</v>
      </c>
      <c r="J309" s="181">
        <v>0</v>
      </c>
      <c r="K309" s="38">
        <f t="shared" ref="K309:K312" ca="1" si="140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IFERROR(__xludf.DUMMYFUNCTION("IMPORTRANGE(""https://docs.google.com/spreadsheets/d/1QqKyyYR6Q21VydFLVH3TRQUabQu_ym0Zz7PgGX0-kHA/edit?usp=sharing"",""แผน!ED60"")"),0)</f>
        <v>0</v>
      </c>
      <c r="J310" s="181">
        <v>0</v>
      </c>
      <c r="K310" s="38">
        <f t="shared" ca="1" si="140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IFERROR(__xludf.DUMMYFUNCTION("IMPORTRANGE(""https://docs.google.com/spreadsheets/d/1QqKyyYR6Q21VydFLVH3TRQUabQu_ym0Zz7PgGX0-kHA/edit?usp=sharing"",""แผน!ED60"")"),0)</f>
        <v>0</v>
      </c>
      <c r="J311" s="181">
        <v>0</v>
      </c>
      <c r="K311" s="38">
        <f t="shared" ca="1" si="140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IFERROR(__xludf.DUMMYFUNCTION("IMPORTRANGE(""https://docs.google.com/spreadsheets/d/1QqKyyYR6Q21VydFLVH3TRQUabQu_ym0Zz7PgGX0-kHA/edit?usp=sharing"",""แผน!EE60"")"),0)</f>
        <v>0</v>
      </c>
      <c r="J312" s="181">
        <v>0</v>
      </c>
      <c r="K312" s="38">
        <f t="shared" ca="1" si="140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801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IFERROR(__xludf.DUMMYFUNCTION("IMPORTRANGE(""https://docs.google.com/spreadsheets/d/1MeEWN-I1oV_STSDYn1IFDPWt_1FKiwhDph83XaGc0o0/edit?usp=sharing"",""งบพรบ!EC60"")"),0)</f>
        <v>0</v>
      </c>
      <c r="M320" s="45">
        <f ca="1">IFERROR(__xludf.DUMMYFUNCTION("IMPORTRANGE(""https://docs.google.com/spreadsheets/d/1MeEWN-I1oV_STSDYn1IFDPWt_1FKiwhDph83XaGc0o0/edit?usp=sharing"",""งบพรบ!EH60"")"),0)</f>
        <v>0</v>
      </c>
      <c r="N320" s="45">
        <f ca="1">IFERROR(__xludf.DUMMYFUNCTION("IMPORTRANGE(""https://docs.google.com/spreadsheets/d/1MeEWN-I1oV_STSDYn1IFDPWt_1FKiwhDph83XaGc0o0/edit?usp=sharing"",""งบพรบ!EJ60"")"),0)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IFERROR(__xludf.DUMMYFUNCTION("IMPORTRANGE(""https://docs.google.com/spreadsheets/d/1MeEWN-I1oV_STSDYn1IFDPWt_1FKiwhDph83XaGc0o0/edit?usp=sharing"",""งบพรบ!EF60"")"),0)</f>
        <v>0</v>
      </c>
      <c r="M323" s="45">
        <f ca="1">IFERROR(__xludf.DUMMYFUNCTION("IMPORTRANGE(""https://docs.google.com/spreadsheets/d/1MeEWN-I1oV_STSDYn1IFDPWt_1FKiwhDph83XaGc0o0/edit?usp=sharing"",""งบพรบ!EI60"")"),0)</f>
        <v>0</v>
      </c>
      <c r="N323" s="45">
        <f ca="1">IFERROR(__xludf.DUMMYFUNCTION("IMPORTRANGE(""https://docs.google.com/spreadsheets/d/1MeEWN-I1oV_STSDYn1IFDPWt_1FKiwhDph83XaGc0o0/edit?usp=sharing"",""งบพรบ!EK60"")"),0)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802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IFERROR(__xludf.DUMMYFUNCTION("IMPORTRANGE(""https://docs.google.com/spreadsheets/d/1QqKyyYR6Q21VydFLVH3TRQUabQu_ym0Zz7PgGX0-kHA/edit?usp=sharing"",""แผน!EF60"")"),0)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IFERROR(__xludf.DUMMYFUNCTION("IMPORTRANGE(""https://docs.google.com/spreadsheets/d/1QqKyyYR6Q21VydFLVH3TRQUabQu_ym0Zz7PgGX0-kHA/edit?usp=sharing"",""แผน!EG60"")"),200)</f>
        <v>200</v>
      </c>
      <c r="J327" s="421">
        <f ca="1">J338+J341+J342+J343</f>
        <v>236</v>
      </c>
      <c r="K327" s="422">
        <f ca="1">IF(I327&gt;0,J327*100/I327,0)</f>
        <v>118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801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244600</v>
      </c>
      <c r="M328" s="154">
        <f t="shared" ca="1" si="148"/>
        <v>247100</v>
      </c>
      <c r="N328" s="154">
        <f t="shared" ca="1" si="148"/>
        <v>206055</v>
      </c>
      <c r="O328" s="154">
        <f t="shared" ref="O328:O336" ca="1" si="149">IF(L328&gt;0,N328*100/L328,0)</f>
        <v>84.241618969746526</v>
      </c>
      <c r="P328" s="154">
        <f t="shared" ref="P328:P336" ca="1" si="150">IF(M328&gt;0,N328*100/M328,0)</f>
        <v>83.389316066369886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244600</v>
      </c>
      <c r="M330" s="45">
        <f t="shared" ca="1" si="151"/>
        <v>247100</v>
      </c>
      <c r="N330" s="45">
        <f t="shared" ca="1" si="151"/>
        <v>206055</v>
      </c>
      <c r="O330" s="45">
        <f t="shared" ca="1" si="149"/>
        <v>84.241618969746526</v>
      </c>
      <c r="P330" s="45">
        <f t="shared" ca="1" si="150"/>
        <v>83.389316066369886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244600</v>
      </c>
      <c r="M331" s="38">
        <f t="shared" ca="1" si="152"/>
        <v>247100</v>
      </c>
      <c r="N331" s="38">
        <f t="shared" ca="1" si="152"/>
        <v>206055</v>
      </c>
      <c r="O331" s="38">
        <f t="shared" ca="1" si="149"/>
        <v>84.241618969746526</v>
      </c>
      <c r="P331" s="38">
        <f t="shared" ca="1" si="150"/>
        <v>83.389316066369886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IFERROR(__xludf.DUMMYFUNCTION("IMPORTRANGE(""https://docs.google.com/spreadsheets/d/1MeEWN-I1oV_STSDYn1IFDPWt_1FKiwhDph83XaGc0o0/edit?usp=sharing"",""งบพรบ!EM60"")"),244600)</f>
        <v>244600</v>
      </c>
      <c r="M333" s="45">
        <f ca="1">IFERROR(__xludf.DUMMYFUNCTION("IMPORTRANGE(""https://docs.google.com/spreadsheets/d/1MeEWN-I1oV_STSDYn1IFDPWt_1FKiwhDph83XaGc0o0/edit?usp=sharing"",""งบพรบ!ER60"")"),247100)</f>
        <v>247100</v>
      </c>
      <c r="N333" s="45">
        <f ca="1">IFERROR(__xludf.DUMMYFUNCTION("IMPORTRANGE(""https://docs.google.com/spreadsheets/d/1MeEWN-I1oV_STSDYn1IFDPWt_1FKiwhDph83XaGc0o0/edit?usp=sharing"",""งบพรบ!ET60"")"),206055)</f>
        <v>206055</v>
      </c>
      <c r="O333" s="45">
        <f t="shared" ca="1" si="149"/>
        <v>84.241618969746526</v>
      </c>
      <c r="P333" s="45">
        <f t="shared" ca="1" si="150"/>
        <v>83.389316066369886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IFERROR(__xludf.DUMMYFUNCTION("IMPORTRANGE(""https://docs.google.com/spreadsheets/d/1MeEWN-I1oV_STSDYn1IFDPWt_1FKiwhDph83XaGc0o0/edit?usp=sharing"",""งบพรบ!EP60"")"),0)</f>
        <v>0</v>
      </c>
      <c r="M336" s="45">
        <f ca="1">IFERROR(__xludf.DUMMYFUNCTION("IMPORTRANGE(""https://docs.google.com/spreadsheets/d/1MeEWN-I1oV_STSDYn1IFDPWt_1FKiwhDph83XaGc0o0/edit?usp=sharing"",""งบพรบ!ES60"")"),0)</f>
        <v>0</v>
      </c>
      <c r="N336" s="45">
        <f ca="1">IFERROR(__xludf.DUMMYFUNCTION("IMPORTRANGE(""https://docs.google.com/spreadsheets/d/1MeEWN-I1oV_STSDYn1IFDPWt_1FKiwhDph83XaGc0o0/edit?usp=sharing"",""งบพรบ!EU60"")"),0)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802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2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IFERROR(__xludf.DUMMYFUNCTION("IMPORTRANGE(""https://docs.google.com/spreadsheets/d/1QqKyyYR6Q21VydFLVH3TRQUabQu_ym0Zz7PgGX0-kHA/edit?usp=sharing"",""แผน!EG60"")"),200)</f>
        <v>200</v>
      </c>
      <c r="J338" s="37">
        <f ca="1">IFERROR(__xludf.DUMMYFUNCTION("IMPORTRANGE(""https://docs.google.com/spreadsheets/d/1kVcqe37tkHyjCSG3S0O1AXqVkqjo8mSIZil3BcpIysc/edit?usp=sharing"",""ศูนย์!D60"")"),134)</f>
        <v>134</v>
      </c>
      <c r="K338" s="38">
        <f ca="1">IF(I338&gt;0,J338*100/I338,0)</f>
        <v>67</v>
      </c>
      <c r="L338" s="38"/>
      <c r="M338" s="38"/>
      <c r="N338" s="38"/>
      <c r="O338" s="38"/>
      <c r="P338" s="38"/>
    </row>
    <row r="339" spans="1:26" ht="19">
      <c r="A339" s="272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2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IFERROR(__xludf.DUMMYFUNCTION("IMPORTRANGE(""https://docs.google.com/spreadsheets/d/1QqKyyYR6Q21VydFLVH3TRQUabQu_ym0Zz7PgGX0-kHA/edit?usp=sharing"",""แผน!EH60"")"),2)</f>
        <v>2</v>
      </c>
      <c r="J340" s="37">
        <f ca="1">IFERROR(__xludf.DUMMYFUNCTION("IMPORTRANGE(""https://docs.google.com/spreadsheets/d/1kVcqe37tkHyjCSG3S0O1AXqVkqjo8mSIZil3BcpIysc/edit?usp=sharing"",""ศูนย์!E60"")"),2)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2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IFERROR(__xludf.DUMMYFUNCTION("IMPORTRANGE(""https://docs.google.com/spreadsheets/d/1kVcqe37tkHyjCSG3S0O1AXqVkqjo8mSIZil3BcpIysc/edit?usp=sharing"",""ศูนย์!F60"")"),102)</f>
        <v>102</v>
      </c>
      <c r="K341" s="38"/>
      <c r="L341" s="38"/>
      <c r="M341" s="38"/>
      <c r="N341" s="38"/>
      <c r="O341" s="38"/>
      <c r="P341" s="38"/>
    </row>
    <row r="342" spans="1:26" ht="19">
      <c r="A342" s="272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IFERROR(__xludf.DUMMYFUNCTION("IMPORTRANGE(""https://docs.google.com/spreadsheets/d/1kVcqe37tkHyjCSG3S0O1AXqVkqjo8mSIZil3BcpIysc/edit?usp=sharing"",""ศูนย์!G60"")"),0)</f>
        <v>0</v>
      </c>
      <c r="K342" s="38"/>
      <c r="L342" s="38"/>
      <c r="M342" s="38"/>
      <c r="N342" s="38"/>
      <c r="O342" s="38"/>
      <c r="P342" s="38"/>
    </row>
    <row r="343" spans="1:26" ht="19">
      <c r="A343" s="272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IFERROR(__xludf.DUMMYFUNCTION("IMPORTRANGE(""https://docs.google.com/spreadsheets/d/1kVcqe37tkHyjCSG3S0O1AXqVkqjo8mSIZil3BcpIysc/edit?usp=sharing"",""ศูนย์!H60"")"),0)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801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228910</v>
      </c>
      <c r="M345" s="154">
        <f t="shared" ca="1" si="154"/>
        <v>265110</v>
      </c>
      <c r="N345" s="154">
        <f t="shared" ca="1" si="154"/>
        <v>171166</v>
      </c>
      <c r="O345" s="154">
        <f t="shared" ref="O345:O353" ca="1" si="155">IF(L345&gt;0,N345*100/L345,0)</f>
        <v>74.77436547114587</v>
      </c>
      <c r="P345" s="154">
        <f t="shared" ref="P345:P353" ca="1" si="156">IF(M345&gt;0,N345*100/M345,0)</f>
        <v>64.564143185847385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228910</v>
      </c>
      <c r="M347" s="45">
        <f t="shared" ca="1" si="157"/>
        <v>265110</v>
      </c>
      <c r="N347" s="45">
        <f t="shared" ca="1" si="157"/>
        <v>171166</v>
      </c>
      <c r="O347" s="45">
        <f t="shared" ca="1" si="155"/>
        <v>74.77436547114587</v>
      </c>
      <c r="P347" s="45">
        <f t="shared" ca="1" si="156"/>
        <v>64.564143185847385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191110</v>
      </c>
      <c r="M348" s="38">
        <f t="shared" ca="1" si="158"/>
        <v>227310</v>
      </c>
      <c r="N348" s="38">
        <f t="shared" ca="1" si="158"/>
        <v>133366</v>
      </c>
      <c r="O348" s="38">
        <f t="shared" ca="1" si="155"/>
        <v>69.784940610119833</v>
      </c>
      <c r="P348" s="38">
        <f t="shared" ca="1" si="156"/>
        <v>58.671417887466454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IFERROR(__xludf.DUMMYFUNCTION("IMPORTRANGE(""https://docs.google.com/spreadsheets/d/1MeEWN-I1oV_STSDYn1IFDPWt_1FKiwhDph83XaGc0o0/edit?usp=sharing"",""งบพรบ!EW60"")"),191110)</f>
        <v>191110</v>
      </c>
      <c r="M350" s="45">
        <f ca="1">IFERROR(__xludf.DUMMYFUNCTION("IMPORTRANGE(""https://docs.google.com/spreadsheets/d/1MeEWN-I1oV_STSDYn1IFDPWt_1FKiwhDph83XaGc0o0/edit?usp=sharing"",""งบพรบ!FB60"")"),227310)</f>
        <v>227310</v>
      </c>
      <c r="N350" s="45">
        <f ca="1">IFERROR(__xludf.DUMMYFUNCTION("IMPORTRANGE(""https://docs.google.com/spreadsheets/d/1MeEWN-I1oV_STSDYn1IFDPWt_1FKiwhDph83XaGc0o0/edit?usp=sharing"",""งบพรบ!FD60"")"),133366)</f>
        <v>133366</v>
      </c>
      <c r="O350" s="45">
        <f t="shared" ca="1" si="155"/>
        <v>69.784940610119833</v>
      </c>
      <c r="P350" s="45">
        <f t="shared" ca="1" si="156"/>
        <v>58.671417887466454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37800</v>
      </c>
      <c r="M351" s="38">
        <f t="shared" ca="1" si="159"/>
        <v>37800</v>
      </c>
      <c r="N351" s="38">
        <f t="shared" ca="1" si="159"/>
        <v>37800</v>
      </c>
      <c r="O351" s="38">
        <f t="shared" ca="1" si="155"/>
        <v>100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IFERROR(__xludf.DUMMYFUNCTION("IMPORTRANGE(""https://docs.google.com/spreadsheets/d/1MeEWN-I1oV_STSDYn1IFDPWt_1FKiwhDph83XaGc0o0/edit?usp=sharing"",""งบพรบ!EZ60"")"),37800)</f>
        <v>37800</v>
      </c>
      <c r="M353" s="45">
        <f ca="1">IFERROR(__xludf.DUMMYFUNCTION("IMPORTRANGE(""https://docs.google.com/spreadsheets/d/1MeEWN-I1oV_STSDYn1IFDPWt_1FKiwhDph83XaGc0o0/edit?usp=sharing"",""งบพรบ!FC60"")"),37800)</f>
        <v>37800</v>
      </c>
      <c r="N353" s="45">
        <f ca="1">IFERROR(__xludf.DUMMYFUNCTION("IMPORTRANGE(""https://docs.google.com/spreadsheets/d/1MeEWN-I1oV_STSDYn1IFDPWt_1FKiwhDph83XaGc0o0/edit?usp=sharing"",""งบพรบ!FE60"")"),37800)</f>
        <v>37800</v>
      </c>
      <c r="O353" s="45">
        <f t="shared" ca="1" si="155"/>
        <v>100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 hidden="1">
      <c r="A354" s="245"/>
      <c r="B354" s="253"/>
      <c r="C354" s="246"/>
      <c r="D354" s="811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 hidden="1">
      <c r="A355" s="431"/>
      <c r="B355" s="432"/>
      <c r="C355" s="433"/>
      <c r="D355" s="812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IFERROR(__xludf.DUMMYFUNCTION("IMPORTRANGE(""https://docs.google.com/spreadsheets/d/1QqKyyYR6Q21VydFLVH3TRQUabQu_ym0Zz7PgGX0-kHA/edit?usp=sharing"",""แผน!EP60"")"),0)</f>
        <v>0</v>
      </c>
      <c r="J355" s="438">
        <f ca="1"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 hidden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 hidden="1">
      <c r="A357" s="169"/>
      <c r="B357" s="170"/>
      <c r="C357" s="163" t="s">
        <v>16</v>
      </c>
      <c r="D357" s="802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 hidden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IFERROR(__xludf.DUMMYFUNCTION("IMPORTRANGE(""https://docs.google.com/spreadsheets/d/1XWAQStnk-4SwqDmLtmXYiTMKHgktTP8We1SCoS47DrQ/edit?usp=sharing"",""จัดที่ดิน!W60"")"),0)</f>
        <v>0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 hidden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IFERROR(__xludf.DUMMYFUNCTION("IMPORTRANGE(""https://docs.google.com/spreadsheets/d/1QqKyyYR6Q21VydFLVH3TRQUabQu_ym0Zz7PgGX0-kHA/edit?usp=sharing"",""แผน!EO60"")"),0)</f>
        <v>0</v>
      </c>
      <c r="J359" s="37">
        <f ca="1">IFERROR(__xludf.DUMMYFUNCTION("IMPORTRANGE(""https://docs.google.com/spreadsheets/d/1XWAQStnk-4SwqDmLtmXYiTMKHgktTP8We1SCoS47DrQ/edit?usp=sharing"",""จัดที่ดิน!X60"")"),0)</f>
        <v>0</v>
      </c>
      <c r="K359" s="38">
        <f t="shared" ca="1" si="160"/>
        <v>0</v>
      </c>
      <c r="L359" s="162"/>
      <c r="M359" s="162"/>
      <c r="N359" s="162"/>
      <c r="O359" s="162"/>
      <c r="P359" s="162"/>
    </row>
    <row r="360" spans="1:26" ht="19" hidden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IFERROR(__xludf.DUMMYFUNCTION("IMPORTRANGE(""https://docs.google.com/spreadsheets/d/1QqKyyYR6Q21VydFLVH3TRQUabQu_ym0Zz7PgGX0-kHA/edit?usp=sharing"",""แผน!EP60"")"),0)</f>
        <v>0</v>
      </c>
      <c r="J360" s="37">
        <f ca="1">IFERROR(__xludf.DUMMYFUNCTION("IMPORTRANGE(""https://docs.google.com/spreadsheets/d/1XWAQStnk-4SwqDmLtmXYiTMKHgktTP8We1SCoS47DrQ/edit?usp=sharing"",""จัดที่ดิน!Y60"")"),0)</f>
        <v>0</v>
      </c>
      <c r="K360" s="38">
        <f t="shared" ca="1" si="160"/>
        <v>0</v>
      </c>
      <c r="L360" s="162"/>
      <c r="M360" s="162"/>
      <c r="N360" s="162"/>
      <c r="O360" s="162"/>
      <c r="P360" s="162"/>
    </row>
    <row r="361" spans="1:26" ht="19" hidden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IFERROR(__xludf.DUMMYFUNCTION("IMPORTRANGE(""https://docs.google.com/spreadsheets/d/1XWAQStnk-4SwqDmLtmXYiTMKHgktTP8We1SCoS47DrQ/edit?usp=sharing"",""จัดที่ดิน!Z60"")"),0)</f>
        <v>0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 hidden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IFERROR(__xludf.DUMMYFUNCTION("IMPORTRANGE(""https://docs.google.com/spreadsheets/d/1QqKyyYR6Q21VydFLVH3TRQUabQu_ym0Zz7PgGX0-kHA/edit?usp=sharing"",""แผน!EP60"")"),0)</f>
        <v>0</v>
      </c>
      <c r="J362" s="37">
        <f ca="1">IFERROR(__xludf.DUMMYFUNCTION("IMPORTRANGE(""https://docs.google.com/spreadsheets/d/1XWAQStnk-4SwqDmLtmXYiTMKHgktTP8We1SCoS47DrQ/edit?usp=sharing"",""จัดที่ดิน!AA60"")"),0)</f>
        <v>0</v>
      </c>
      <c r="K362" s="38">
        <f t="shared" ca="1" si="160"/>
        <v>0</v>
      </c>
      <c r="L362" s="162"/>
      <c r="M362" s="162"/>
      <c r="N362" s="162"/>
      <c r="O362" s="162"/>
      <c r="P362" s="162"/>
    </row>
    <row r="363" spans="1:26" ht="19" hidden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IFERROR(__xludf.DUMMYFUNCTION("IMPORTRANGE(""https://docs.google.com/spreadsheets/d/1XWAQStnk-4SwqDmLtmXYiTMKHgktTP8We1SCoS47DrQ/edit?usp=sharing"",""จัดที่ดิน!AB60"")"),0)</f>
        <v>0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 hidden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0</v>
      </c>
      <c r="J364" s="452">
        <f t="shared" ca="1" si="161"/>
        <v>0</v>
      </c>
      <c r="K364" s="453">
        <f t="shared" ca="1" si="160"/>
        <v>0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 hidden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IFERROR(__xludf.DUMMYFUNCTION("IMPORTRANGE(""https://docs.google.com/spreadsheets/d/1QqKyyYR6Q21VydFLVH3TRQUabQu_ym0Zz7PgGX0-kHA/edit?usp=sharing"",""แผน!EJ60"")"),0)</f>
        <v>0</v>
      </c>
      <c r="J365" s="462">
        <f ca="1">J372</f>
        <v>0</v>
      </c>
      <c r="K365" s="463">
        <f t="shared" ca="1" si="160"/>
        <v>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 hidden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 hidden="1">
      <c r="A367" s="169"/>
      <c r="B367" s="170"/>
      <c r="C367" s="163" t="s">
        <v>16</v>
      </c>
      <c r="D367" s="802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 hidden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IFERROR(__xludf.DUMMYFUNCTION("IMPORTRANGE(""https://docs.google.com/spreadsheets/d/1XWAQStnk-4SwqDmLtmXYiTMKHgktTP8We1SCoS47DrQ/edit?usp=sharing"",""จัดที่ดิน!E60"")"),0)</f>
        <v>0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 hidden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IFERROR(__xludf.DUMMYFUNCTION("IMPORTRANGE(""https://docs.google.com/spreadsheets/d/1QqKyyYR6Q21VydFLVH3TRQUabQu_ym0Zz7PgGX0-kHA/edit?usp=sharing"",""แผน!EI60"")"),0)</f>
        <v>0</v>
      </c>
      <c r="J369" s="37">
        <f ca="1">IFERROR(__xludf.DUMMYFUNCTION("IMPORTRANGE(""https://docs.google.com/spreadsheets/d/1XWAQStnk-4SwqDmLtmXYiTMKHgktTP8We1SCoS47DrQ/edit?usp=sharing"",""จัดที่ดิน!F60"")"),0)</f>
        <v>0</v>
      </c>
      <c r="K369" s="38">
        <f t="shared" ca="1" si="162"/>
        <v>0</v>
      </c>
      <c r="L369" s="162"/>
      <c r="M369" s="162"/>
      <c r="N369" s="162"/>
      <c r="O369" s="162"/>
      <c r="P369" s="162"/>
    </row>
    <row r="370" spans="1:26" ht="19" hidden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IFERROR(__xludf.DUMMYFUNCTION("IMPORTRANGE(""https://docs.google.com/spreadsheets/d/1QqKyyYR6Q21VydFLVH3TRQUabQu_ym0Zz7PgGX0-kHA/edit?usp=sharing"",""แผน!EJ60"")"),0)</f>
        <v>0</v>
      </c>
      <c r="J370" s="37">
        <f ca="1">IFERROR(__xludf.DUMMYFUNCTION("IMPORTRANGE(""https://docs.google.com/spreadsheets/d/1XWAQStnk-4SwqDmLtmXYiTMKHgktTP8We1SCoS47DrQ/edit?usp=sharing"",""จัดที่ดิน!G60"")"),0)</f>
        <v>0</v>
      </c>
      <c r="K370" s="38">
        <f t="shared" ca="1" si="162"/>
        <v>0</v>
      </c>
      <c r="L370" s="162"/>
      <c r="M370" s="162"/>
      <c r="N370" s="162"/>
      <c r="O370" s="162"/>
      <c r="P370" s="162"/>
    </row>
    <row r="371" spans="1:26" ht="19" hidden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IFERROR(__xludf.DUMMYFUNCTION("IMPORTRANGE(""https://docs.google.com/spreadsheets/d/1XWAQStnk-4SwqDmLtmXYiTMKHgktTP8We1SCoS47DrQ/edit?usp=sharing"",""จัดที่ดิน!H60"")"),0)</f>
        <v>0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 hidden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IFERROR(__xludf.DUMMYFUNCTION("IMPORTRANGE(""https://docs.google.com/spreadsheets/d/1QqKyyYR6Q21VydFLVH3TRQUabQu_ym0Zz7PgGX0-kHA/edit?usp=sharing"",""แผน!EJ60"")"),0)</f>
        <v>0</v>
      </c>
      <c r="J372" s="37">
        <f ca="1">IFERROR(__xludf.DUMMYFUNCTION("IMPORTRANGE(""https://docs.google.com/spreadsheets/d/1XWAQStnk-4SwqDmLtmXYiTMKHgktTP8We1SCoS47DrQ/edit?usp=sharing"",""จัดที่ดิน!I60"")"),0)</f>
        <v>0</v>
      </c>
      <c r="K372" s="38">
        <f t="shared" ca="1" si="162"/>
        <v>0</v>
      </c>
      <c r="L372" s="162"/>
      <c r="M372" s="162"/>
      <c r="N372" s="162"/>
      <c r="O372" s="162"/>
      <c r="P372" s="162"/>
    </row>
    <row r="373" spans="1:26" ht="19" hidden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IFERROR(__xludf.DUMMYFUNCTION("IMPORTRANGE(""https://docs.google.com/spreadsheets/d/1XWAQStnk-4SwqDmLtmXYiTMKHgktTP8We1SCoS47DrQ/edit?usp=sharing"",""จัดที่ดิน!J60"")"),0)</f>
        <v>0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 hidden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IFERROR(__xludf.DUMMYFUNCTION("IMPORTRANGE(""https://docs.google.com/spreadsheets/d/1QqKyyYR6Q21VydFLVH3TRQUabQu_ym0Zz7PgGX0-kHA/edit?usp=sharing"",""แผน!EU60"")"),0)</f>
        <v>0</v>
      </c>
      <c r="J374" s="462">
        <f ca="1">J381</f>
        <v>0</v>
      </c>
      <c r="K374" s="463">
        <f t="shared" ca="1" si="162"/>
        <v>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 hidden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 hidden="1">
      <c r="A376" s="169"/>
      <c r="B376" s="170"/>
      <c r="C376" s="163" t="s">
        <v>16</v>
      </c>
      <c r="D376" s="802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 hidden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IFERROR(__xludf.DUMMYFUNCTION("IMPORTRANGE(""https://docs.google.com/spreadsheets/d/1XWAQStnk-4SwqDmLtmXYiTMKHgktTP8We1SCoS47DrQ/edit?usp=sharing"",""จัดที่ดิน!AH60"")"),0)</f>
        <v>0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 hidden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IFERROR(__xludf.DUMMYFUNCTION("IMPORTRANGE(""https://docs.google.com/spreadsheets/d/1QqKyyYR6Q21VydFLVH3TRQUabQu_ym0Zz7PgGX0-kHA/edit?usp=sharing"",""แผน!ET60"")"),0)</f>
        <v>0</v>
      </c>
      <c r="J378" s="37">
        <f ca="1">IFERROR(__xludf.DUMMYFUNCTION("IMPORTRANGE(""https://docs.google.com/spreadsheets/d/1XWAQStnk-4SwqDmLtmXYiTMKHgktTP8We1SCoS47DrQ/edit?usp=sharing"",""จัดที่ดิน!AI60"")"),0)</f>
        <v>0</v>
      </c>
      <c r="K378" s="38">
        <f t="shared" ca="1" si="163"/>
        <v>0</v>
      </c>
      <c r="L378" s="162"/>
      <c r="M378" s="162"/>
      <c r="N378" s="162"/>
      <c r="O378" s="162"/>
      <c r="P378" s="162"/>
    </row>
    <row r="379" spans="1:26" ht="19" hidden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IFERROR(__xludf.DUMMYFUNCTION("IMPORTRANGE(""https://docs.google.com/spreadsheets/d/1QqKyyYR6Q21VydFLVH3TRQUabQu_ym0Zz7PgGX0-kHA/edit?usp=sharing"",""แผน!EU60"")"),0)</f>
        <v>0</v>
      </c>
      <c r="J379" s="37">
        <f ca="1">IFERROR(__xludf.DUMMYFUNCTION("IMPORTRANGE(""https://docs.google.com/spreadsheets/d/1XWAQStnk-4SwqDmLtmXYiTMKHgktTP8We1SCoS47DrQ/edit?usp=sharing"",""จัดที่ดิน!AJ60"")"),0)</f>
        <v>0</v>
      </c>
      <c r="K379" s="38">
        <f t="shared" ca="1" si="163"/>
        <v>0</v>
      </c>
      <c r="L379" s="162"/>
      <c r="M379" s="162"/>
      <c r="N379" s="162"/>
      <c r="O379" s="162"/>
      <c r="P379" s="162"/>
    </row>
    <row r="380" spans="1:26" ht="19" hidden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IFERROR(__xludf.DUMMYFUNCTION("IMPORTRANGE(""https://docs.google.com/spreadsheets/d/1XWAQStnk-4SwqDmLtmXYiTMKHgktTP8We1SCoS47DrQ/edit?usp=sharing"",""จัดที่ดิน!AK60"")"),0)</f>
        <v>0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 hidden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IFERROR(__xludf.DUMMYFUNCTION("IMPORTRANGE(""https://docs.google.com/spreadsheets/d/1QqKyyYR6Q21VydFLVH3TRQUabQu_ym0Zz7PgGX0-kHA/edit?usp=sharing"",""แผน!EU60"")"),0)</f>
        <v>0</v>
      </c>
      <c r="J381" s="37">
        <f ca="1">IFERROR(__xludf.DUMMYFUNCTION("IMPORTRANGE(""https://docs.google.com/spreadsheets/d/1XWAQStnk-4SwqDmLtmXYiTMKHgktTP8We1SCoS47DrQ/edit?usp=sharing"",""จัดที่ดิน!AL60"")"),0)</f>
        <v>0</v>
      </c>
      <c r="K381" s="38">
        <f t="shared" ca="1" si="163"/>
        <v>0</v>
      </c>
      <c r="L381" s="162"/>
      <c r="M381" s="162"/>
      <c r="N381" s="162"/>
      <c r="O381" s="162"/>
      <c r="P381" s="162"/>
    </row>
    <row r="382" spans="1:26" ht="19" hidden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IFERROR(__xludf.DUMMYFUNCTION("IMPORTRANGE(""https://docs.google.com/spreadsheets/d/1XWAQStnk-4SwqDmLtmXYiTMKHgktTP8We1SCoS47DrQ/edit?usp=sharing"",""จัดที่ดิน!AM60"")"),0)</f>
        <v>0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 hidden="1">
      <c r="A383" s="245"/>
      <c r="B383" s="253"/>
      <c r="C383" s="246"/>
      <c r="D383" s="811" t="s">
        <v>346</v>
      </c>
      <c r="E383" s="246"/>
      <c r="F383" s="246"/>
      <c r="G383" s="248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 hidden="1">
      <c r="A384" s="169"/>
      <c r="B384" s="170"/>
      <c r="C384" s="33" t="s">
        <v>16</v>
      </c>
      <c r="D384" s="802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 hidden="1">
      <c r="A385" s="360"/>
      <c r="B385" s="363"/>
      <c r="C385" s="361"/>
      <c r="D385" s="363"/>
      <c r="E385" s="470" t="s">
        <v>163</v>
      </c>
      <c r="F385" s="363"/>
      <c r="G385" s="364"/>
      <c r="H385" s="471" t="s">
        <v>35</v>
      </c>
      <c r="I385" s="365">
        <f ca="1">IFERROR(__xludf.DUMMYFUNCTION("IMPORTRANGE(""https://docs.google.com/spreadsheets/d/1QqKyyYR6Q21VydFLVH3TRQUabQu_ym0Zz7PgGX0-kHA/edit?usp=sharing"",""แผน!EW60"")"),0)</f>
        <v>0</v>
      </c>
      <c r="J385" s="365">
        <f ca="1">IFERROR(__xludf.DUMMYFUNCTION("IMPORTRANGE(""https://docs.google.com/spreadsheets/d/1XWAQStnk-4SwqDmLtmXYiTMKHgktTP8We1SCoS47DrQ/edit?usp=sharing"",""จัดที่ดิน!AP60"")"),0)</f>
        <v>0</v>
      </c>
      <c r="K385" s="472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4">I400</f>
        <v>0</v>
      </c>
      <c r="J388" s="492">
        <f t="shared" si="164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" hidden="1">
      <c r="A389" s="146"/>
      <c r="B389" s="147"/>
      <c r="C389" s="148" t="s">
        <v>16</v>
      </c>
      <c r="D389" s="801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IFERROR(__xludf.DUMMYFUNCTION("IMPORTRANGE(""https://docs.google.com/spreadsheets/d/1MeEWN-I1oV_STSDYn1IFDPWt_1FKiwhDph83XaGc0o0/edit?usp=sharing"",""งบพรบ!FG60"")"),0)</f>
        <v>0</v>
      </c>
      <c r="M394" s="45">
        <f ca="1">IFERROR(__xludf.DUMMYFUNCTION("IMPORTRANGE(""https://docs.google.com/spreadsheets/d/1MeEWN-I1oV_STSDYn1IFDPWt_1FKiwhDph83XaGc0o0/edit?usp=sharing"",""งบพรบ!FL60"")"),0)</f>
        <v>0</v>
      </c>
      <c r="N394" s="45">
        <f ca="1">IFERROR(__xludf.DUMMYFUNCTION("IMPORTRANGE(""https://docs.google.com/spreadsheets/d/1MeEWN-I1oV_STSDYn1IFDPWt_1FKiwhDph83XaGc0o0/edit?usp=sharing"",""งบพรบ!FN60"")"),0)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IFERROR(__xludf.DUMMYFUNCTION("IMPORTRANGE(""https://docs.google.com/spreadsheets/d/1MeEWN-I1oV_STSDYn1IFDPWt_1FKiwhDph83XaGc0o0/edit?usp=sharing"",""งบพรบ!FJ60"")"),0)</f>
        <v>0</v>
      </c>
      <c r="M397" s="45">
        <f ca="1">IFERROR(__xludf.DUMMYFUNCTION("IMPORTRANGE(""https://docs.google.com/spreadsheets/d/1MeEWN-I1oV_STSDYn1IFDPWt_1FKiwhDph83XaGc0o0/edit?usp=sharing"",""งบพรบ!FM60"")"),0)</f>
        <v>0</v>
      </c>
      <c r="N397" s="45">
        <f ca="1">IFERROR(__xludf.DUMMYFUNCTION("IMPORTRANGE(""https://docs.google.com/spreadsheets/d/1MeEWN-I1oV_STSDYn1IFDPWt_1FKiwhDph83XaGc0o0/edit?usp=sharing"",""งบพรบ!FO60"")"),0)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802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5"/>
      <c r="B399" s="147"/>
      <c r="C399" s="496"/>
      <c r="D399" s="193" t="s">
        <v>175</v>
      </c>
      <c r="E399" s="394"/>
      <c r="F399" s="147"/>
      <c r="G399" s="150"/>
      <c r="H399" s="497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2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2">I412</f>
        <v>0</v>
      </c>
      <c r="J401" s="492">
        <f t="shared" si="172"/>
        <v>0</v>
      </c>
      <c r="K401" s="493">
        <f t="shared" si="171"/>
        <v>0</v>
      </c>
      <c r="L401" s="494"/>
      <c r="M401" s="494"/>
      <c r="N401" s="494"/>
      <c r="O401" s="494"/>
      <c r="P401" s="494"/>
    </row>
    <row r="402" spans="1:26" ht="19" hidden="1">
      <c r="A402" s="146"/>
      <c r="B402" s="147"/>
      <c r="C402" s="148" t="s">
        <v>16</v>
      </c>
      <c r="D402" s="801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IFERROR(__xludf.DUMMYFUNCTION("IMPORTRANGE(""https://docs.google.com/spreadsheets/d/1MeEWN-I1oV_STSDYn1IFDPWt_1FKiwhDph83XaGc0o0/edit?usp=sharing"",""งบพรบ!FQ60"")"),0)</f>
        <v>0</v>
      </c>
      <c r="M407" s="45">
        <f ca="1">IFERROR(__xludf.DUMMYFUNCTION("IMPORTRANGE(""https://docs.google.com/spreadsheets/d/1MeEWN-I1oV_STSDYn1IFDPWt_1FKiwhDph83XaGc0o0/edit?usp=sharing"",""งบพรบ!FV60"")"),0)</f>
        <v>0</v>
      </c>
      <c r="N407" s="45">
        <f ca="1">IFERROR(__xludf.DUMMYFUNCTION("IMPORTRANGE(""https://docs.google.com/spreadsheets/d/1MeEWN-I1oV_STSDYn1IFDPWt_1FKiwhDph83XaGc0o0/edit?usp=sharing"",""งบพรบ!FX60"")"),0)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IFERROR(__xludf.DUMMYFUNCTION("IMPORTRANGE(""https://docs.google.com/spreadsheets/d/1MeEWN-I1oV_STSDYn1IFDPWt_1FKiwhDph83XaGc0o0/edit?usp=sharing"",""งบพรบ!FT60"")"),0)</f>
        <v>0</v>
      </c>
      <c r="M410" s="45">
        <f ca="1">IFERROR(__xludf.DUMMYFUNCTION("IMPORTRANGE(""https://docs.google.com/spreadsheets/d/1MeEWN-I1oV_STSDYn1IFDPWt_1FKiwhDph83XaGc0o0/edit?usp=sharing"",""งบพรบ!FW60"")"),0)</f>
        <v>0</v>
      </c>
      <c r="N410" s="45">
        <f ca="1">IFERROR(__xludf.DUMMYFUNCTION("IMPORTRANGE(""https://docs.google.com/spreadsheets/d/1MeEWN-I1oV_STSDYn1IFDPWt_1FKiwhDph83XaGc0o0/edit?usp=sharing"",""งบพรบ!FY60"")"),0)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13" t="s">
        <v>38</v>
      </c>
      <c r="E411" s="500"/>
      <c r="F411" s="500"/>
      <c r="G411" s="501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2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79"/>
        <v>0</v>
      </c>
      <c r="L413" s="511"/>
      <c r="M413" s="511"/>
      <c r="N413" s="511"/>
      <c r="O413" s="511"/>
      <c r="P413" s="511"/>
    </row>
    <row r="414" spans="1:26" ht="19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0">L419+L444+L467+L502+L523+L544+L629+L655+L685+L737+L754+L770+L786+L805</f>
        <v>189140</v>
      </c>
      <c r="M414" s="518">
        <f t="shared" ca="1" si="180"/>
        <v>188830</v>
      </c>
      <c r="N414" s="518">
        <f t="shared" si="180"/>
        <v>147344</v>
      </c>
      <c r="O414" s="518">
        <f ca="1">IF(L414&gt;0,N414*100/L414,0)</f>
        <v>77.902083113037961</v>
      </c>
      <c r="P414" s="518">
        <f ca="1">IF(M414&gt;0,N414*100/M414,0)</f>
        <v>78.029974050733458</v>
      </c>
    </row>
    <row r="415" spans="1:26" ht="19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19">
      <c r="A417" s="528">
        <v>1</v>
      </c>
      <c r="B417" s="529" t="s">
        <v>184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1">I433</f>
        <v>10</v>
      </c>
      <c r="J417" s="533">
        <f t="shared" ca="1" si="181"/>
        <v>10</v>
      </c>
      <c r="K417" s="534">
        <f t="shared" ref="K417:K418" ca="1" si="182">IF(I417&gt;0,J417*100/I417,0)</f>
        <v>100</v>
      </c>
      <c r="L417" s="535"/>
      <c r="M417" s="535"/>
      <c r="N417" s="535"/>
      <c r="O417" s="535"/>
      <c r="P417" s="535"/>
    </row>
    <row r="418" spans="1:26" ht="19">
      <c r="A418" s="536"/>
      <c r="B418" s="528"/>
      <c r="C418" s="529"/>
      <c r="D418" s="530"/>
      <c r="E418" s="530"/>
      <c r="F418" s="530"/>
      <c r="G418" s="531"/>
      <c r="H418" s="532" t="s">
        <v>49</v>
      </c>
      <c r="I418" s="533">
        <f t="shared" ca="1" si="181"/>
        <v>1</v>
      </c>
      <c r="J418" s="533">
        <f t="shared" si="181"/>
        <v>1</v>
      </c>
      <c r="K418" s="534">
        <f t="shared" ca="1" si="182"/>
        <v>100</v>
      </c>
      <c r="L418" s="535"/>
      <c r="M418" s="535"/>
      <c r="N418" s="535"/>
      <c r="O418" s="535"/>
      <c r="P418" s="535"/>
    </row>
    <row r="419" spans="1:26" ht="19">
      <c r="A419" s="146"/>
      <c r="B419" s="147"/>
      <c r="C419" s="147" t="s">
        <v>16</v>
      </c>
      <c r="D419" s="814" t="s">
        <v>17</v>
      </c>
      <c r="E419" s="793"/>
      <c r="F419" s="793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64460</v>
      </c>
      <c r="M419" s="154">
        <f t="shared" ca="1" si="183"/>
        <v>64150</v>
      </c>
      <c r="N419" s="154">
        <f t="shared" si="183"/>
        <v>64150</v>
      </c>
      <c r="O419" s="154">
        <f t="shared" ref="O419:O424" ca="1" si="184">IF(L419&gt;0,N419*100/L419,0)</f>
        <v>99.519081600992862</v>
      </c>
      <c r="P419" s="154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64460</v>
      </c>
      <c r="M421" s="45">
        <f t="shared" ca="1" si="186"/>
        <v>64150</v>
      </c>
      <c r="N421" s="45">
        <f t="shared" si="186"/>
        <v>64150</v>
      </c>
      <c r="O421" s="45">
        <f t="shared" ca="1" si="184"/>
        <v>99.519081600992862</v>
      </c>
      <c r="P421" s="45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64460</v>
      </c>
      <c r="M422" s="38">
        <f t="shared" ca="1" si="187"/>
        <v>64150</v>
      </c>
      <c r="N422" s="38">
        <f t="shared" si="187"/>
        <v>64150</v>
      </c>
      <c r="O422" s="38">
        <f t="shared" ca="1" si="184"/>
        <v>99.519081600992862</v>
      </c>
      <c r="P422" s="38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IFERROR(__xludf.DUMMYFUNCTION("IMPORTRANGE(""https://docs.google.com/spreadsheets/d/1QqKyyYR6Q21VydFLVH3TRQUabQu_ym0Zz7PgGX0-kHA/edit?usp=sharing"",""แผน!EY60"")"),64460)</f>
        <v>64460</v>
      </c>
      <c r="M424" s="45">
        <f ca="1">L424-310</f>
        <v>64150</v>
      </c>
      <c r="N424" s="45">
        <f>N425+N426+N427+N428</f>
        <v>64150</v>
      </c>
      <c r="O424" s="45">
        <f t="shared" ca="1" si="184"/>
        <v>99.519081600992862</v>
      </c>
      <c r="P424" s="45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7"/>
      <c r="B425" s="538"/>
      <c r="C425" s="539"/>
      <c r="D425" s="539"/>
      <c r="E425" s="539"/>
      <c r="F425" s="539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1">
        <v>24300</v>
      </c>
      <c r="O425" s="38"/>
      <c r="P425" s="38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</row>
    <row r="426" spans="1:26" ht="19">
      <c r="A426" s="537"/>
      <c r="B426" s="538"/>
      <c r="C426" s="539"/>
      <c r="D426" s="539"/>
      <c r="E426" s="539"/>
      <c r="F426" s="539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1">
        <v>0</v>
      </c>
      <c r="O426" s="38"/>
      <c r="P426" s="38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</row>
    <row r="427" spans="1:26" ht="19">
      <c r="A427" s="537"/>
      <c r="B427" s="538"/>
      <c r="C427" s="539"/>
      <c r="D427" s="539"/>
      <c r="E427" s="539"/>
      <c r="F427" s="539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1">
        <v>0</v>
      </c>
      <c r="O427" s="38"/>
      <c r="P427" s="38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</row>
    <row r="428" spans="1:26" ht="19">
      <c r="A428" s="272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1">
        <v>39850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IFERROR(__xludf.DUMMYFUNCTION("IMPORTRANGE(""https://docs.google.com/spreadsheets/d/1QqKyyYR6Q21VydFLVH3TRQUabQu_ym0Zz7PgGX0-kHA/edit?usp=sharing"",""แผน!FB60"")"),0)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815" t="s">
        <v>38</v>
      </c>
      <c r="E432" s="542"/>
      <c r="F432" s="542"/>
      <c r="G432" s="543"/>
      <c r="H432" s="54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10</v>
      </c>
      <c r="J433" s="190">
        <f ca="1">IF(AND(J435=I435,J437=I437,J439=I439),I437+I439,IF(AND(J435=I437,J437=I437),I437,IF(AND(J435=I439,J439=I439),I439,0)))</f>
        <v>10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5">
        <f ca="1">IFERROR(__xludf.DUMMYFUNCTION("IMPORTRANGE(""https://docs.google.com/spreadsheets/d/1QqKyyYR6Q21VydFLVH3TRQUabQu_ym0Zz7PgGX0-kHA/edit?usp=sharing"",""แผน!FC60"")"),10)</f>
        <v>10</v>
      </c>
      <c r="J435" s="546">
        <v>10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5">
        <f ca="1">IFERROR(__xludf.DUMMYFUNCTION("IMPORTRANGE(""https://docs.google.com/spreadsheets/d/1QqKyyYR6Q21VydFLVH3TRQUabQu_ym0Zz7PgGX0-kHA/edit?usp=sharing"",""แผน!FD60"")"),0)</f>
        <v>0</v>
      </c>
      <c r="J437" s="546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IFERROR(__xludf.DUMMYFUNCTION("IMPORTRANGE(""https://docs.google.com/spreadsheets/d/1QqKyyYR6Q21VydFLVH3TRQUabQu_ym0Zz7PgGX0-kHA/edit?usp=sharing"",""แผน!FE60"")"),0)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5">
        <f ca="1">IFERROR(__xludf.DUMMYFUNCTION("IMPORTRANGE(""https://docs.google.com/spreadsheets/d/1QqKyyYR6Q21VydFLVH3TRQUabQu_ym0Zz7PgGX0-kHA/edit?usp=sharing"",""แผน!FF60"")"),10)</f>
        <v>10</v>
      </c>
      <c r="J439" s="546">
        <v>10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IFERROR(__xludf.DUMMYFUNCTION("IMPORTRANGE(""https://docs.google.com/spreadsheets/d/1QqKyyYR6Q21VydFLVH3TRQUabQu_ym0Zz7PgGX0-kHA/edit?usp=sharing"",""แผน!FG60"")"),1)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IFERROR(__xludf.DUMMYFUNCTION("IMPORTRANGE(""https://docs.google.com/spreadsheets/d/1QqKyyYR6Q21VydFLVH3TRQUabQu_ym0Zz7PgGX0-kHA/edit?usp=sharing"",""แผน!FH60"")"),0)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7">
        <v>2</v>
      </c>
      <c r="B442" s="548" t="s">
        <v>200</v>
      </c>
      <c r="C442" s="549"/>
      <c r="D442" s="549"/>
      <c r="E442" s="549"/>
      <c r="F442" s="549"/>
      <c r="G442" s="550"/>
      <c r="H442" s="551" t="s">
        <v>35</v>
      </c>
      <c r="I442" s="552">
        <f t="shared" ref="I442:J442" ca="1" si="194">I460</f>
        <v>0</v>
      </c>
      <c r="J442" s="552">
        <f t="shared" si="194"/>
        <v>0</v>
      </c>
      <c r="K442" s="553">
        <f t="shared" ca="1" si="193"/>
        <v>0</v>
      </c>
      <c r="L442" s="554"/>
      <c r="M442" s="554"/>
      <c r="N442" s="554"/>
      <c r="O442" s="554"/>
      <c r="P442" s="554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</row>
    <row r="443" spans="1:26" ht="19" hidden="1">
      <c r="A443" s="555"/>
      <c r="B443" s="556"/>
      <c r="C443" s="557"/>
      <c r="D443" s="557"/>
      <c r="E443" s="557"/>
      <c r="F443" s="557"/>
      <c r="G443" s="558"/>
      <c r="H443" s="532" t="s">
        <v>46</v>
      </c>
      <c r="I443" s="533">
        <f t="shared" ref="I443:J443" ca="1" si="195">I462</f>
        <v>0</v>
      </c>
      <c r="J443" s="533">
        <f t="shared" si="195"/>
        <v>0</v>
      </c>
      <c r="K443" s="534">
        <f t="shared" ca="1" si="193"/>
        <v>0</v>
      </c>
      <c r="L443" s="535"/>
      <c r="M443" s="535"/>
      <c r="N443" s="535"/>
      <c r="O443" s="535"/>
      <c r="P443" s="535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</row>
    <row r="444" spans="1:26" ht="19" hidden="1">
      <c r="A444" s="559"/>
      <c r="B444" s="539"/>
      <c r="C444" s="539" t="s">
        <v>16</v>
      </c>
      <c r="D444" s="794" t="s">
        <v>17</v>
      </c>
      <c r="E444" s="788"/>
      <c r="F444" s="788"/>
      <c r="G444" s="186"/>
      <c r="H444" s="560" t="s">
        <v>12</v>
      </c>
      <c r="I444" s="37"/>
      <c r="J444" s="37"/>
      <c r="K444" s="38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</row>
    <row r="445" spans="1:26" ht="19" hidden="1">
      <c r="A445" s="561"/>
      <c r="B445" s="562"/>
      <c r="C445" s="562"/>
      <c r="D445" s="563"/>
      <c r="E445" s="562" t="s">
        <v>185</v>
      </c>
      <c r="F445" s="562"/>
      <c r="G445" s="564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</row>
    <row r="446" spans="1:26" ht="19" hidden="1">
      <c r="A446" s="561"/>
      <c r="B446" s="566"/>
      <c r="C446" s="562"/>
      <c r="D446" s="563"/>
      <c r="E446" s="562" t="s">
        <v>186</v>
      </c>
      <c r="F446" s="562"/>
      <c r="G446" s="564"/>
      <c r="H446" s="164" t="s">
        <v>12</v>
      </c>
      <c r="I446" s="44"/>
      <c r="J446" s="44"/>
      <c r="K446" s="45"/>
      <c r="L446" s="45">
        <f t="shared" ca="1" si="199"/>
        <v>0</v>
      </c>
      <c r="M446" s="45">
        <f t="shared" si="199"/>
        <v>0</v>
      </c>
      <c r="N446" s="45">
        <f t="shared" si="199"/>
        <v>0</v>
      </c>
      <c r="O446" s="45">
        <f t="shared" ca="1" si="197"/>
        <v>0</v>
      </c>
      <c r="P446" s="45">
        <f t="shared" si="198"/>
        <v>0</v>
      </c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</row>
    <row r="447" spans="1:26" ht="19" hidden="1">
      <c r="A447" s="559"/>
      <c r="B447" s="538"/>
      <c r="C447" s="539"/>
      <c r="D447" s="567" t="s">
        <v>20</v>
      </c>
      <c r="E447" s="539"/>
      <c r="F447" s="539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0</v>
      </c>
      <c r="M447" s="38">
        <f t="shared" si="200"/>
        <v>0</v>
      </c>
      <c r="N447" s="38">
        <f t="shared" si="200"/>
        <v>0</v>
      </c>
      <c r="O447" s="38">
        <f t="shared" ca="1" si="197"/>
        <v>0</v>
      </c>
      <c r="P447" s="38">
        <f t="shared" si="198"/>
        <v>0</v>
      </c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</row>
    <row r="448" spans="1:26" ht="19" hidden="1">
      <c r="A448" s="561"/>
      <c r="B448" s="566"/>
      <c r="C448" s="562"/>
      <c r="D448" s="563"/>
      <c r="E448" s="562" t="s">
        <v>185</v>
      </c>
      <c r="F448" s="562"/>
      <c r="G448" s="56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</row>
    <row r="449" spans="1:26" ht="19" hidden="1">
      <c r="A449" s="561"/>
      <c r="B449" s="566"/>
      <c r="C449" s="562"/>
      <c r="D449" s="563"/>
      <c r="E449" s="562" t="s">
        <v>186</v>
      </c>
      <c r="F449" s="562"/>
      <c r="G449" s="56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IFERROR(__xludf.DUMMYFUNCTION("IMPORTRANGE(""https://docs.google.com/spreadsheets/d/1QqKyyYR6Q21VydFLVH3TRQUabQu_ym0Zz7PgGX0-kHA/edit?usp=sharing"",""แผน!FJ60"")"),0)</f>
        <v>0</v>
      </c>
      <c r="M449" s="45">
        <v>0</v>
      </c>
      <c r="N449" s="45">
        <f>N450+N451+N452+N453</f>
        <v>0</v>
      </c>
      <c r="O449" s="45">
        <f t="shared" ca="1" si="197"/>
        <v>0</v>
      </c>
      <c r="P449" s="45">
        <f t="shared" si="198"/>
        <v>0</v>
      </c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</row>
    <row r="450" spans="1:26" ht="19" hidden="1">
      <c r="A450" s="537"/>
      <c r="B450" s="538"/>
      <c r="C450" s="539"/>
      <c r="D450" s="539"/>
      <c r="E450" s="539"/>
      <c r="F450" s="539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1">
        <v>0</v>
      </c>
      <c r="O450" s="38"/>
      <c r="P450" s="38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</row>
    <row r="451" spans="1:26" ht="19" hidden="1">
      <c r="A451" s="537"/>
      <c r="B451" s="538"/>
      <c r="C451" s="539"/>
      <c r="D451" s="539"/>
      <c r="E451" s="539"/>
      <c r="F451" s="539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1">
        <v>0</v>
      </c>
      <c r="O451" s="38"/>
      <c r="P451" s="38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</row>
    <row r="452" spans="1:26" ht="19" hidden="1">
      <c r="A452" s="537"/>
      <c r="B452" s="538"/>
      <c r="C452" s="538"/>
      <c r="D452" s="538"/>
      <c r="E452" s="538"/>
      <c r="F452" s="539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1">
        <v>0</v>
      </c>
      <c r="O452" s="38"/>
      <c r="P452" s="38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</row>
    <row r="453" spans="1:26" ht="19" hidden="1">
      <c r="A453" s="537"/>
      <c r="B453" s="538"/>
      <c r="C453" s="538"/>
      <c r="D453" s="538"/>
      <c r="E453" s="538"/>
      <c r="F453" s="539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1">
        <v>0</v>
      </c>
      <c r="O453" s="38"/>
      <c r="P453" s="38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</row>
    <row r="454" spans="1:26" ht="19" hidden="1">
      <c r="A454" s="559"/>
      <c r="B454" s="538"/>
      <c r="C454" s="538"/>
      <c r="D454" s="567" t="s">
        <v>21</v>
      </c>
      <c r="E454" s="538"/>
      <c r="F454" s="539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</row>
    <row r="455" spans="1:26" ht="19" hidden="1">
      <c r="A455" s="561"/>
      <c r="B455" s="566"/>
      <c r="C455" s="566"/>
      <c r="D455" s="566"/>
      <c r="E455" s="566" t="s">
        <v>18</v>
      </c>
      <c r="F455" s="562"/>
      <c r="G455" s="56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</row>
    <row r="456" spans="1:26" ht="19" hidden="1">
      <c r="A456" s="561"/>
      <c r="B456" s="566"/>
      <c r="C456" s="566"/>
      <c r="D456" s="566"/>
      <c r="E456" s="566" t="s">
        <v>19</v>
      </c>
      <c r="F456" s="562"/>
      <c r="G456" s="56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IFERROR(__xludf.DUMMYFUNCTION("IMPORTRANGE(""https://docs.google.com/spreadsheets/d/1QqKyyYR6Q21VydFLVH3TRQUabQu_ym0Zz7PgGX0-kHA/edit?usp=sharing"",""แผน!FM60"")"),0)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</row>
    <row r="457" spans="1:26" ht="19" hidden="1">
      <c r="A457" s="568"/>
      <c r="B457" s="569"/>
      <c r="C457" s="538" t="s">
        <v>16</v>
      </c>
      <c r="D457" s="816" t="s">
        <v>38</v>
      </c>
      <c r="E457" s="571"/>
      <c r="F457" s="572"/>
      <c r="G457" s="573"/>
      <c r="H457" s="174"/>
      <c r="I457" s="37"/>
      <c r="J457" s="37"/>
      <c r="K457" s="38"/>
      <c r="L457" s="38"/>
      <c r="M457" s="38"/>
      <c r="N457" s="38"/>
      <c r="O457" s="38"/>
      <c r="P457" s="38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</row>
    <row r="458" spans="1:26" ht="19" hidden="1">
      <c r="A458" s="574"/>
      <c r="B458" s="575"/>
      <c r="C458" s="575"/>
      <c r="D458" s="575" t="s">
        <v>201</v>
      </c>
      <c r="E458" s="575"/>
      <c r="F458" s="563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</row>
    <row r="459" spans="1:26" ht="19" hidden="1">
      <c r="A459" s="574"/>
      <c r="B459" s="575"/>
      <c r="C459" s="575"/>
      <c r="D459" s="575" t="s">
        <v>202</v>
      </c>
      <c r="E459" s="575"/>
      <c r="F459" s="563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</row>
    <row r="460" spans="1:26" ht="19" hidden="1">
      <c r="A460" s="568"/>
      <c r="B460" s="569"/>
      <c r="C460" s="569"/>
      <c r="D460" s="569" t="s">
        <v>203</v>
      </c>
      <c r="E460" s="56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IFERROR(__xludf.DUMMYFUNCTION("IMPORTRANGE(""https://docs.google.com/spreadsheets/d/1QqKyyYR6Q21VydFLVH3TRQUabQu_ym0Zz7PgGX0-kHA/edit?usp=sharing"",""แผน!FN60"")"),0)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</row>
    <row r="461" spans="1:26" ht="19" hidden="1">
      <c r="A461" s="568"/>
      <c r="B461" s="569"/>
      <c r="C461" s="569"/>
      <c r="D461" s="56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</row>
    <row r="462" spans="1:26" ht="19" hidden="1">
      <c r="A462" s="568"/>
      <c r="B462" s="569"/>
      <c r="C462" s="569"/>
      <c r="D462" s="56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IFERROR(__xludf.DUMMYFUNCTION("IMPORTRANGE(""https://docs.google.com/spreadsheets/d/1QqKyyYR6Q21VydFLVH3TRQUabQu_ym0Zz7PgGX0-kHA/edit?usp=sharing"",""แผน!FO60"")"),0)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</row>
    <row r="463" spans="1:26" ht="19" hidden="1">
      <c r="A463" s="568"/>
      <c r="B463" s="569"/>
      <c r="C463" s="569"/>
      <c r="D463" s="569" t="s">
        <v>59</v>
      </c>
      <c r="E463" s="184"/>
      <c r="F463" s="539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IFERROR(__xludf.DUMMYFUNCTION("IMPORTRANGE(""https://docs.google.com/spreadsheets/d/1QqKyyYR6Q21VydFLVH3TRQUabQu_ym0Zz7PgGX0-kHA/edit?usp=sharing"",""แผน!FO60"")"),0)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</row>
    <row r="464" spans="1:26" ht="19" hidden="1">
      <c r="A464" s="568"/>
      <c r="B464" s="569"/>
      <c r="C464" s="569"/>
      <c r="D464" s="569"/>
      <c r="E464" s="184"/>
      <c r="F464" s="184"/>
      <c r="G464" s="576"/>
      <c r="H464" s="180" t="s">
        <v>35</v>
      </c>
      <c r="I464" s="37">
        <f ca="1">IFERROR(__xludf.DUMMYFUNCTION("IMPORTRANGE(""https://docs.google.com/spreadsheets/d/1QqKyyYR6Q21VydFLVH3TRQUabQu_ym0Zz7PgGX0-kHA/edit?usp=sharing"",""แผน!FN60"")"),0)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</row>
    <row r="465" spans="1:26" ht="19" hidden="1">
      <c r="A465" s="547">
        <v>3</v>
      </c>
      <c r="B465" s="548" t="s">
        <v>206</v>
      </c>
      <c r="C465" s="549"/>
      <c r="D465" s="549"/>
      <c r="E465" s="549"/>
      <c r="F465" s="549"/>
      <c r="G465" s="550"/>
      <c r="H465" s="551" t="s">
        <v>35</v>
      </c>
      <c r="I465" s="552">
        <f ca="1">IFERROR(__xludf.DUMMYFUNCTION("IMPORTRANGE(""https://docs.google.com/spreadsheets/d/1QqKyyYR6Q21VydFLVH3TRQUabQu_ym0Zz7PgGX0-kHA/edit?usp=sharing"",""แผน!FX60"")"),0)</f>
        <v>0</v>
      </c>
      <c r="J465" s="552">
        <f>J485+J489+J492</f>
        <v>0</v>
      </c>
      <c r="K465" s="553">
        <f t="shared" ref="K465:K466" ca="1" si="204">IF(I465&gt;0,J465*100/I465,0)</f>
        <v>0</v>
      </c>
      <c r="L465" s="554"/>
      <c r="M465" s="554"/>
      <c r="N465" s="554"/>
      <c r="O465" s="554"/>
      <c r="P465" s="554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</row>
    <row r="466" spans="1:26" ht="19" hidden="1">
      <c r="A466" s="555"/>
      <c r="B466" s="556"/>
      <c r="C466" s="557"/>
      <c r="D466" s="557"/>
      <c r="E466" s="557"/>
      <c r="F466" s="557"/>
      <c r="G466" s="558"/>
      <c r="H466" s="532" t="s">
        <v>46</v>
      </c>
      <c r="I466" s="533">
        <f ca="1">IFERROR(__xludf.DUMMYFUNCTION("IMPORTRANGE(""https://docs.google.com/spreadsheets/d/1QqKyyYR6Q21VydFLVH3TRQUabQu_ym0Zz7PgGX0-kHA/edit?usp=sharing"",""แผน!FW60"")"),0)</f>
        <v>0</v>
      </c>
      <c r="J466" s="533">
        <f>J483+J487</f>
        <v>0</v>
      </c>
      <c r="K466" s="534">
        <f t="shared" ca="1" si="204"/>
        <v>0</v>
      </c>
      <c r="L466" s="535"/>
      <c r="M466" s="535"/>
      <c r="N466" s="535"/>
      <c r="O466" s="535"/>
      <c r="P466" s="535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</row>
    <row r="467" spans="1:26" ht="19" hidden="1">
      <c r="A467" s="559"/>
      <c r="B467" s="539"/>
      <c r="C467" s="539" t="s">
        <v>16</v>
      </c>
      <c r="D467" s="794" t="s">
        <v>17</v>
      </c>
      <c r="E467" s="788"/>
      <c r="F467" s="788"/>
      <c r="G467" s="186"/>
      <c r="H467" s="560" t="s">
        <v>12</v>
      </c>
      <c r="I467" s="37"/>
      <c r="J467" s="37"/>
      <c r="K467" s="38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</row>
    <row r="468" spans="1:26" ht="19" hidden="1">
      <c r="A468" s="561"/>
      <c r="B468" s="562"/>
      <c r="C468" s="562"/>
      <c r="D468" s="563"/>
      <c r="E468" s="562" t="s">
        <v>185</v>
      </c>
      <c r="F468" s="562"/>
      <c r="G468" s="564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</row>
    <row r="469" spans="1:26" ht="19" hidden="1">
      <c r="A469" s="561"/>
      <c r="B469" s="566"/>
      <c r="C469" s="562"/>
      <c r="D469" s="563"/>
      <c r="E469" s="562" t="s">
        <v>186</v>
      </c>
      <c r="F469" s="562"/>
      <c r="G469" s="564"/>
      <c r="H469" s="164" t="s">
        <v>12</v>
      </c>
      <c r="I469" s="44"/>
      <c r="J469" s="44"/>
      <c r="K469" s="45"/>
      <c r="L469" s="45">
        <f t="shared" ca="1" si="208"/>
        <v>0</v>
      </c>
      <c r="M469" s="45">
        <f t="shared" si="208"/>
        <v>0</v>
      </c>
      <c r="N469" s="45">
        <f t="shared" si="208"/>
        <v>0</v>
      </c>
      <c r="O469" s="45">
        <f t="shared" ca="1" si="206"/>
        <v>0</v>
      </c>
      <c r="P469" s="45">
        <f t="shared" si="207"/>
        <v>0</v>
      </c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</row>
    <row r="470" spans="1:26" ht="19" hidden="1">
      <c r="A470" s="559"/>
      <c r="B470" s="538"/>
      <c r="C470" s="539"/>
      <c r="D470" s="567" t="s">
        <v>20</v>
      </c>
      <c r="E470" s="539"/>
      <c r="F470" s="539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0</v>
      </c>
      <c r="M470" s="38">
        <f t="shared" si="209"/>
        <v>0</v>
      </c>
      <c r="N470" s="38">
        <f t="shared" si="209"/>
        <v>0</v>
      </c>
      <c r="O470" s="38">
        <f t="shared" ca="1" si="206"/>
        <v>0</v>
      </c>
      <c r="P470" s="38">
        <f t="shared" si="207"/>
        <v>0</v>
      </c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</row>
    <row r="471" spans="1:26" ht="19" hidden="1">
      <c r="A471" s="561"/>
      <c r="B471" s="566"/>
      <c r="C471" s="562"/>
      <c r="D471" s="563"/>
      <c r="E471" s="562" t="s">
        <v>185</v>
      </c>
      <c r="F471" s="562"/>
      <c r="G471" s="56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</row>
    <row r="472" spans="1:26" ht="19" hidden="1">
      <c r="A472" s="561"/>
      <c r="B472" s="566"/>
      <c r="C472" s="562"/>
      <c r="D472" s="563"/>
      <c r="E472" s="562" t="s">
        <v>186</v>
      </c>
      <c r="F472" s="562"/>
      <c r="G472" s="56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IFERROR(__xludf.DUMMYFUNCTION("IMPORTRANGE(""https://docs.google.com/spreadsheets/d/1QqKyyYR6Q21VydFLVH3TRQUabQu_ym0Zz7PgGX0-kHA/edit?usp=sharing"",""แผน!FS60"")"),0)</f>
        <v>0</v>
      </c>
      <c r="M472" s="45">
        <v>0</v>
      </c>
      <c r="N472" s="45">
        <f>N473+N474+N475+N476</f>
        <v>0</v>
      </c>
      <c r="O472" s="45">
        <f t="shared" ca="1" si="206"/>
        <v>0</v>
      </c>
      <c r="P472" s="45">
        <f t="shared" si="207"/>
        <v>0</v>
      </c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</row>
    <row r="473" spans="1:26" ht="19" hidden="1">
      <c r="A473" s="537"/>
      <c r="B473" s="538"/>
      <c r="C473" s="539"/>
      <c r="D473" s="539"/>
      <c r="E473" s="539"/>
      <c r="F473" s="539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1">
        <v>0</v>
      </c>
      <c r="O473" s="38"/>
      <c r="P473" s="38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</row>
    <row r="474" spans="1:26" ht="19" hidden="1">
      <c r="A474" s="537"/>
      <c r="B474" s="538"/>
      <c r="C474" s="539"/>
      <c r="D474" s="539"/>
      <c r="E474" s="539"/>
      <c r="F474" s="539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1">
        <v>0</v>
      </c>
      <c r="O474" s="38"/>
      <c r="P474" s="38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</row>
    <row r="475" spans="1:26" ht="19" hidden="1">
      <c r="A475" s="537"/>
      <c r="B475" s="538"/>
      <c r="C475" s="538"/>
      <c r="D475" s="538"/>
      <c r="E475" s="538"/>
      <c r="F475" s="539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1">
        <v>0</v>
      </c>
      <c r="O475" s="38"/>
      <c r="P475" s="38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</row>
    <row r="476" spans="1:26" ht="19" hidden="1">
      <c r="A476" s="537"/>
      <c r="B476" s="538"/>
      <c r="C476" s="538"/>
      <c r="D476" s="538"/>
      <c r="E476" s="538"/>
      <c r="F476" s="539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1">
        <v>0</v>
      </c>
      <c r="O476" s="38"/>
      <c r="P476" s="38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</row>
    <row r="477" spans="1:26" ht="19" hidden="1">
      <c r="A477" s="559"/>
      <c r="B477" s="538"/>
      <c r="C477" s="538"/>
      <c r="D477" s="567" t="s">
        <v>21</v>
      </c>
      <c r="E477" s="538"/>
      <c r="F477" s="538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</row>
    <row r="478" spans="1:26" ht="19" hidden="1">
      <c r="A478" s="561"/>
      <c r="B478" s="566"/>
      <c r="C478" s="566"/>
      <c r="D478" s="566"/>
      <c r="E478" s="566" t="s">
        <v>18</v>
      </c>
      <c r="F478" s="566"/>
      <c r="G478" s="56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</row>
    <row r="479" spans="1:26" ht="19" hidden="1">
      <c r="A479" s="561"/>
      <c r="B479" s="566"/>
      <c r="C479" s="566"/>
      <c r="D479" s="566"/>
      <c r="E479" s="566" t="s">
        <v>19</v>
      </c>
      <c r="F479" s="566"/>
      <c r="G479" s="56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IFERROR(__xludf.DUMMYFUNCTION("IMPORTRANGE(""https://docs.google.com/spreadsheets/d/1QqKyyYR6Q21VydFLVH3TRQUabQu_ym0Zz7PgGX0-kHA/edit?usp=sharing"",""แผน!FV60"")"),0)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</row>
    <row r="480" spans="1:26" ht="19" hidden="1">
      <c r="A480" s="568"/>
      <c r="B480" s="569"/>
      <c r="C480" s="538" t="s">
        <v>16</v>
      </c>
      <c r="D480" s="817" t="s">
        <v>38</v>
      </c>
      <c r="E480" s="571"/>
      <c r="F480" s="572"/>
      <c r="G480" s="573"/>
      <c r="H480" s="174"/>
      <c r="I480" s="37"/>
      <c r="J480" s="37"/>
      <c r="K480" s="38"/>
      <c r="L480" s="38"/>
      <c r="M480" s="38"/>
      <c r="N480" s="38"/>
      <c r="O480" s="38"/>
      <c r="P480" s="38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</row>
    <row r="481" spans="1:26" ht="19" hidden="1">
      <c r="A481" s="568"/>
      <c r="B481" s="569"/>
      <c r="C481" s="569"/>
      <c r="D481" s="578" t="s">
        <v>207</v>
      </c>
      <c r="E481" s="569"/>
      <c r="F481" s="56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</row>
    <row r="482" spans="1:26" ht="19" hidden="1">
      <c r="A482" s="568"/>
      <c r="B482" s="569"/>
      <c r="C482" s="569"/>
      <c r="D482" s="569"/>
      <c r="E482" s="569" t="s">
        <v>208</v>
      </c>
      <c r="F482" s="56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</row>
    <row r="483" spans="1:26" ht="19" hidden="1">
      <c r="A483" s="568"/>
      <c r="B483" s="569"/>
      <c r="C483" s="569"/>
      <c r="D483" s="569"/>
      <c r="E483" s="569"/>
      <c r="F483" s="56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IFERROR(__xludf.DUMMYFUNCTION("IMPORTRANGE(""https://docs.google.com/spreadsheets/d/1QqKyyYR6Q21VydFLVH3TRQUabQu_ym0Zz7PgGX0-kHA/edit?usp=sharing"",""แผน!FY60"")"),0)</f>
        <v>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</row>
    <row r="484" spans="1:26" ht="19" hidden="1">
      <c r="A484" s="568"/>
      <c r="B484" s="569"/>
      <c r="C484" s="569"/>
      <c r="D484" s="569"/>
      <c r="E484" s="569"/>
      <c r="F484" s="56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</row>
    <row r="485" spans="1:26" ht="19" hidden="1">
      <c r="A485" s="568"/>
      <c r="B485" s="569"/>
      <c r="C485" s="569"/>
      <c r="D485" s="569"/>
      <c r="E485" s="569"/>
      <c r="F485" s="56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IFERROR(__xludf.DUMMYFUNCTION("IMPORTRANGE(""https://docs.google.com/spreadsheets/d/1QqKyyYR6Q21VydFLVH3TRQUabQu_ym0Zz7PgGX0-kHA/edit?usp=sharing"",""แผน!FZ60"")"),0)</f>
        <v>0</v>
      </c>
      <c r="J485" s="181"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</row>
    <row r="486" spans="1:26" ht="19" hidden="1">
      <c r="A486" s="568"/>
      <c r="B486" s="569"/>
      <c r="C486" s="569"/>
      <c r="D486" s="569"/>
      <c r="E486" s="569" t="s">
        <v>62</v>
      </c>
      <c r="F486" s="56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</row>
    <row r="487" spans="1:26" ht="19" hidden="1">
      <c r="A487" s="568"/>
      <c r="B487" s="569"/>
      <c r="C487" s="569"/>
      <c r="D487" s="569"/>
      <c r="E487" s="569"/>
      <c r="F487" s="56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IFERROR(__xludf.DUMMYFUNCTION("IMPORTRANGE(""https://docs.google.com/spreadsheets/d/1QqKyyYR6Q21VydFLVH3TRQUabQu_ym0Zz7PgGX0-kHA/edit?usp=sharing"",""แผน!GA60"")"),0)</f>
        <v>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</row>
    <row r="488" spans="1:26" ht="19" hidden="1">
      <c r="A488" s="568"/>
      <c r="B488" s="569"/>
      <c r="C488" s="569"/>
      <c r="D488" s="569"/>
      <c r="E488" s="569"/>
      <c r="F488" s="56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</row>
    <row r="489" spans="1:26" ht="19" hidden="1">
      <c r="A489" s="568"/>
      <c r="B489" s="569"/>
      <c r="C489" s="569"/>
      <c r="D489" s="569"/>
      <c r="E489" s="569"/>
      <c r="F489" s="56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IFERROR(__xludf.DUMMYFUNCTION("IMPORTRANGE(""https://docs.google.com/spreadsheets/d/1QqKyyYR6Q21VydFLVH3TRQUabQu_ym0Zz7PgGX0-kHA/edit?usp=sharing"",""แผน!GB60"")"),0)</f>
        <v>0</v>
      </c>
      <c r="J489" s="181"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</row>
    <row r="490" spans="1:26" ht="19" hidden="1">
      <c r="A490" s="568"/>
      <c r="B490" s="569"/>
      <c r="C490" s="569"/>
      <c r="D490" s="569"/>
      <c r="E490" s="56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</row>
    <row r="491" spans="1:26" ht="19" hidden="1">
      <c r="A491" s="568"/>
      <c r="B491" s="569"/>
      <c r="C491" s="569"/>
      <c r="D491" s="569"/>
      <c r="E491" s="569"/>
      <c r="F491" s="56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</row>
    <row r="492" spans="1:26" ht="19" hidden="1">
      <c r="A492" s="568"/>
      <c r="B492" s="569"/>
      <c r="C492" s="569"/>
      <c r="D492" s="569"/>
      <c r="E492" s="569"/>
      <c r="F492" s="56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IFERROR(__xludf.DUMMYFUNCTION("IMPORTRANGE(""https://docs.google.com/spreadsheets/d/1QqKyyYR6Q21VydFLVH3TRQUabQu_ym0Zz7PgGX0-kHA/edit?usp=sharing"",""แผน!GC60"")"),0)</f>
        <v>0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</row>
    <row r="493" spans="1:26" ht="19" hidden="1">
      <c r="A493" s="568"/>
      <c r="B493" s="569"/>
      <c r="C493" s="569"/>
      <c r="D493" s="578" t="s">
        <v>59</v>
      </c>
      <c r="E493" s="56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</row>
    <row r="494" spans="1:26" ht="19" hidden="1">
      <c r="A494" s="568"/>
      <c r="B494" s="569"/>
      <c r="C494" s="569"/>
      <c r="D494" s="569"/>
      <c r="E494" s="56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</row>
    <row r="495" spans="1:26" ht="19" hidden="1">
      <c r="A495" s="568"/>
      <c r="B495" s="569"/>
      <c r="C495" s="569"/>
      <c r="D495" s="569"/>
      <c r="E495" s="56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IFERROR(__xludf.DUMMYFUNCTION("IMPORTRANGE(""https://docs.google.com/spreadsheets/d/1QqKyyYR6Q21VydFLVH3TRQUabQu_ym0Zz7PgGX0-kHA/edit?usp=sharing"",""แผน!FY60"")"),0)</f>
        <v>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</row>
    <row r="496" spans="1:26" ht="19" hidden="1">
      <c r="A496" s="568"/>
      <c r="B496" s="569"/>
      <c r="C496" s="569"/>
      <c r="D496" s="569"/>
      <c r="E496" s="56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</row>
    <row r="497" spans="1:26" ht="19" hidden="1">
      <c r="A497" s="568"/>
      <c r="B497" s="569"/>
      <c r="C497" s="569"/>
      <c r="D497" s="569"/>
      <c r="E497" s="56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</row>
    <row r="498" spans="1:26" ht="19" hidden="1">
      <c r="A498" s="568"/>
      <c r="B498" s="569"/>
      <c r="C498" s="569"/>
      <c r="D498" s="56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IFERROR(__xludf.DUMMYFUNCTION("IMPORTRANGE(""https://docs.google.com/spreadsheets/d/1QqKyyYR6Q21VydFLVH3TRQUabQu_ym0Zz7PgGX0-kHA/edit?usp=sharing"",""แผน!GA60"")"),0)</f>
        <v>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</row>
    <row r="499" spans="1:26" ht="19" hidden="1">
      <c r="A499" s="568"/>
      <c r="B499" s="569"/>
      <c r="C499" s="569"/>
      <c r="D499" s="56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</row>
    <row r="500" spans="1:26" ht="19" hidden="1">
      <c r="A500" s="579">
        <v>4</v>
      </c>
      <c r="B500" s="580" t="s">
        <v>220</v>
      </c>
      <c r="C500" s="581"/>
      <c r="D500" s="582"/>
      <c r="E500" s="582"/>
      <c r="F500" s="582"/>
      <c r="G500" s="583"/>
      <c r="H500" s="584" t="s">
        <v>109</v>
      </c>
      <c r="I500" s="585"/>
      <c r="J500" s="585">
        <f t="shared" ref="J500:J501" si="213">J516</f>
        <v>0</v>
      </c>
      <c r="K500" s="586">
        <f t="shared" ref="K500:K501" si="214">IF(I500&gt;0,J500*100/I500,0)</f>
        <v>0</v>
      </c>
      <c r="L500" s="587"/>
      <c r="M500" s="587"/>
      <c r="N500" s="587"/>
      <c r="O500" s="587"/>
      <c r="P500" s="587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</row>
    <row r="501" spans="1:26" ht="19" hidden="1">
      <c r="A501" s="588"/>
      <c r="B501" s="589" t="s">
        <v>221</v>
      </c>
      <c r="C501" s="589"/>
      <c r="D501" s="590"/>
      <c r="E501" s="590"/>
      <c r="F501" s="590"/>
      <c r="G501" s="591"/>
      <c r="H501" s="592" t="s">
        <v>35</v>
      </c>
      <c r="I501" s="593"/>
      <c r="J501" s="593">
        <f t="shared" si="213"/>
        <v>0</v>
      </c>
      <c r="K501" s="594">
        <f t="shared" si="214"/>
        <v>0</v>
      </c>
      <c r="L501" s="595"/>
      <c r="M501" s="595"/>
      <c r="N501" s="595"/>
      <c r="O501" s="595"/>
      <c r="P501" s="59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</row>
    <row r="502" spans="1:26" ht="19" hidden="1">
      <c r="A502" s="561"/>
      <c r="B502" s="562"/>
      <c r="C502" s="562" t="s">
        <v>16</v>
      </c>
      <c r="D502" s="795" t="s">
        <v>17</v>
      </c>
      <c r="E502" s="788"/>
      <c r="F502" s="788"/>
      <c r="G502" s="564"/>
      <c r="H502" s="597" t="s">
        <v>12</v>
      </c>
      <c r="I502" s="44"/>
      <c r="J502" s="44"/>
      <c r="K502" s="45"/>
      <c r="L502" s="598">
        <f t="shared" ref="L502:N502" si="215">L503+L504</f>
        <v>0</v>
      </c>
      <c r="M502" s="598">
        <f t="shared" si="215"/>
        <v>0</v>
      </c>
      <c r="N502" s="598">
        <f t="shared" si="215"/>
        <v>0</v>
      </c>
      <c r="O502" s="598">
        <f t="shared" ref="O502:O507" si="216">IF(L502&gt;0,N502*100/L502,0)</f>
        <v>0</v>
      </c>
      <c r="P502" s="598">
        <f t="shared" ref="P502:P507" si="217">IF(M502&gt;0,N502*100/M502,0)</f>
        <v>0</v>
      </c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</row>
    <row r="503" spans="1:26" ht="19" hidden="1">
      <c r="A503" s="561"/>
      <c r="B503" s="562"/>
      <c r="C503" s="562"/>
      <c r="D503" s="563"/>
      <c r="E503" s="562" t="s">
        <v>185</v>
      </c>
      <c r="F503" s="562"/>
      <c r="G503" s="564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</row>
    <row r="504" spans="1:26" ht="19" hidden="1">
      <c r="A504" s="561"/>
      <c r="B504" s="566"/>
      <c r="C504" s="562"/>
      <c r="D504" s="563"/>
      <c r="E504" s="562" t="s">
        <v>186</v>
      </c>
      <c r="F504" s="562"/>
      <c r="G504" s="564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</row>
    <row r="505" spans="1:26" ht="19" hidden="1">
      <c r="A505" s="561"/>
      <c r="B505" s="566"/>
      <c r="C505" s="562"/>
      <c r="D505" s="599" t="s">
        <v>20</v>
      </c>
      <c r="E505" s="562"/>
      <c r="F505" s="562"/>
      <c r="G505" s="564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</row>
    <row r="506" spans="1:26" ht="19" hidden="1">
      <c r="A506" s="561"/>
      <c r="B506" s="566"/>
      <c r="C506" s="562"/>
      <c r="D506" s="563"/>
      <c r="E506" s="562" t="s">
        <v>185</v>
      </c>
      <c r="F506" s="562"/>
      <c r="G506" s="56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</row>
    <row r="507" spans="1:26" ht="19" hidden="1">
      <c r="A507" s="561"/>
      <c r="B507" s="566"/>
      <c r="C507" s="562"/>
      <c r="D507" s="563"/>
      <c r="E507" s="562" t="s">
        <v>186</v>
      </c>
      <c r="F507" s="562"/>
      <c r="G507" s="56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</row>
    <row r="508" spans="1:26" ht="19" hidden="1">
      <c r="A508" s="600"/>
      <c r="B508" s="566"/>
      <c r="C508" s="562"/>
      <c r="D508" s="562"/>
      <c r="E508" s="562"/>
      <c r="F508" s="562" t="s">
        <v>187</v>
      </c>
      <c r="G508" s="56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</row>
    <row r="509" spans="1:26" ht="19" hidden="1">
      <c r="A509" s="600"/>
      <c r="B509" s="566"/>
      <c r="C509" s="562"/>
      <c r="D509" s="562"/>
      <c r="E509" s="562"/>
      <c r="F509" s="562" t="s">
        <v>188</v>
      </c>
      <c r="G509" s="56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</row>
    <row r="510" spans="1:26" ht="19" hidden="1">
      <c r="A510" s="600"/>
      <c r="B510" s="566"/>
      <c r="C510" s="566"/>
      <c r="D510" s="566"/>
      <c r="E510" s="562"/>
      <c r="F510" s="562" t="s">
        <v>189</v>
      </c>
      <c r="G510" s="56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</row>
    <row r="511" spans="1:26" ht="19" hidden="1">
      <c r="A511" s="600"/>
      <c r="B511" s="566"/>
      <c r="C511" s="566"/>
      <c r="D511" s="566"/>
      <c r="E511" s="562"/>
      <c r="F511" s="562" t="s">
        <v>190</v>
      </c>
      <c r="G511" s="56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</row>
    <row r="512" spans="1:26" ht="19" hidden="1">
      <c r="A512" s="561"/>
      <c r="B512" s="566"/>
      <c r="C512" s="566"/>
      <c r="D512" s="599" t="s">
        <v>21</v>
      </c>
      <c r="E512" s="566"/>
      <c r="F512" s="562"/>
      <c r="G512" s="564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</row>
    <row r="513" spans="1:26" ht="19" hidden="1">
      <c r="A513" s="561"/>
      <c r="B513" s="566"/>
      <c r="C513" s="566"/>
      <c r="D513" s="566"/>
      <c r="E513" s="566" t="s">
        <v>18</v>
      </c>
      <c r="F513" s="562"/>
      <c r="G513" s="56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</row>
    <row r="514" spans="1:26" ht="19" hidden="1">
      <c r="A514" s="561"/>
      <c r="B514" s="566"/>
      <c r="C514" s="566"/>
      <c r="D514" s="562"/>
      <c r="E514" s="566" t="s">
        <v>19</v>
      </c>
      <c r="F514" s="562"/>
      <c r="G514" s="56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</row>
    <row r="515" spans="1:26" ht="19" hidden="1">
      <c r="A515" s="574"/>
      <c r="B515" s="575"/>
      <c r="C515" s="566" t="s">
        <v>16</v>
      </c>
      <c r="D515" s="818" t="s">
        <v>38</v>
      </c>
      <c r="E515" s="602"/>
      <c r="F515" s="602"/>
      <c r="G515" s="603"/>
      <c r="H515" s="351"/>
      <c r="I515" s="165"/>
      <c r="J515" s="165"/>
      <c r="K515" s="166"/>
      <c r="L515" s="166"/>
      <c r="M515" s="166"/>
      <c r="N515" s="166"/>
      <c r="O515" s="166"/>
      <c r="P515" s="166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</row>
    <row r="516" spans="1:26" ht="19" hidden="1">
      <c r="A516" s="574"/>
      <c r="B516" s="575"/>
      <c r="C516" s="575"/>
      <c r="D516" s="575" t="s">
        <v>222</v>
      </c>
      <c r="E516" s="563"/>
      <c r="F516" s="563"/>
      <c r="G516" s="351"/>
      <c r="H516" s="604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</row>
    <row r="517" spans="1:26" ht="19" hidden="1">
      <c r="A517" s="574"/>
      <c r="B517" s="575"/>
      <c r="C517" s="575"/>
      <c r="D517" s="575" t="s">
        <v>223</v>
      </c>
      <c r="E517" s="563"/>
      <c r="F517" s="563"/>
      <c r="G517" s="351"/>
      <c r="H517" s="605" t="s">
        <v>35</v>
      </c>
      <c r="I517" s="606"/>
      <c r="J517" s="606">
        <f>J518+J519</f>
        <v>0</v>
      </c>
      <c r="K517" s="607">
        <f t="shared" si="223"/>
        <v>0</v>
      </c>
      <c r="L517" s="166"/>
      <c r="M517" s="166"/>
      <c r="N517" s="166"/>
      <c r="O517" s="166"/>
      <c r="P517" s="166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</row>
    <row r="518" spans="1:26" ht="19" hidden="1">
      <c r="A518" s="574"/>
      <c r="B518" s="575"/>
      <c r="C518" s="575"/>
      <c r="D518" s="575"/>
      <c r="E518" s="575" t="s">
        <v>224</v>
      </c>
      <c r="F518" s="563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</row>
    <row r="519" spans="1:26" ht="19" hidden="1">
      <c r="A519" s="574"/>
      <c r="B519" s="575"/>
      <c r="C519" s="575"/>
      <c r="D519" s="575"/>
      <c r="E519" s="575" t="s">
        <v>225</v>
      </c>
      <c r="F519" s="563"/>
      <c r="G519" s="351"/>
      <c r="H519" s="604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</row>
    <row r="520" spans="1:26" ht="19" hidden="1">
      <c r="A520" s="608" t="s">
        <v>137</v>
      </c>
      <c r="B520" s="609"/>
      <c r="C520" s="609"/>
      <c r="D520" s="610"/>
      <c r="E520" s="610"/>
      <c r="F520" s="610"/>
      <c r="G520" s="611"/>
      <c r="H520" s="612"/>
      <c r="I520" s="613"/>
      <c r="J520" s="613"/>
      <c r="K520" s="614"/>
      <c r="L520" s="614"/>
      <c r="M520" s="614"/>
      <c r="N520" s="614"/>
      <c r="O520" s="614"/>
      <c r="P520" s="614"/>
    </row>
    <row r="521" spans="1:26" ht="19" hidden="1">
      <c r="A521" s="615">
        <v>5</v>
      </c>
      <c r="B521" s="616" t="s">
        <v>226</v>
      </c>
      <c r="C521" s="617"/>
      <c r="D521" s="618"/>
      <c r="E521" s="618"/>
      <c r="F521" s="618"/>
      <c r="G521" s="618"/>
      <c r="H521" s="619"/>
      <c r="I521" s="620"/>
      <c r="J521" s="620"/>
      <c r="K521" s="621"/>
      <c r="L521" s="621"/>
      <c r="M521" s="621"/>
      <c r="N521" s="621"/>
      <c r="O521" s="621"/>
      <c r="P521" s="621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</row>
    <row r="522" spans="1:26" ht="19" hidden="1">
      <c r="A522" s="622"/>
      <c r="B522" s="623" t="s">
        <v>227</v>
      </c>
      <c r="C522" s="624"/>
      <c r="D522" s="624"/>
      <c r="E522" s="624"/>
      <c r="F522" s="624"/>
      <c r="G522" s="625"/>
      <c r="H522" s="626" t="s">
        <v>35</v>
      </c>
      <c r="I522" s="627">
        <f t="shared" ref="I522:J522" ca="1" si="224">I537</f>
        <v>0</v>
      </c>
      <c r="J522" s="627">
        <f t="shared" ca="1" si="224"/>
        <v>0</v>
      </c>
      <c r="K522" s="628">
        <f ca="1">IF(I522&gt;0,J522*100/I522,0)</f>
        <v>0</v>
      </c>
      <c r="L522" s="629"/>
      <c r="M522" s="629"/>
      <c r="N522" s="629"/>
      <c r="O522" s="629"/>
      <c r="P522" s="629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</row>
    <row r="523" spans="1:26" ht="19" hidden="1">
      <c r="A523" s="559"/>
      <c r="B523" s="539"/>
      <c r="C523" s="539" t="s">
        <v>16</v>
      </c>
      <c r="D523" s="794" t="s">
        <v>17</v>
      </c>
      <c r="E523" s="788"/>
      <c r="F523" s="788"/>
      <c r="G523" s="186"/>
      <c r="H523" s="560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</row>
    <row r="524" spans="1:26" ht="19" hidden="1">
      <c r="A524" s="561"/>
      <c r="B524" s="562"/>
      <c r="C524" s="562"/>
      <c r="D524" s="563"/>
      <c r="E524" s="562" t="s">
        <v>185</v>
      </c>
      <c r="F524" s="562"/>
      <c r="G524" s="564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</row>
    <row r="525" spans="1:26" ht="19" hidden="1">
      <c r="A525" s="561"/>
      <c r="B525" s="566"/>
      <c r="C525" s="562"/>
      <c r="D525" s="563"/>
      <c r="E525" s="562" t="s">
        <v>186</v>
      </c>
      <c r="F525" s="562"/>
      <c r="G525" s="564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</row>
    <row r="526" spans="1:26" ht="19" hidden="1">
      <c r="A526" s="559"/>
      <c r="B526" s="538"/>
      <c r="C526" s="539"/>
      <c r="D526" s="567" t="s">
        <v>20</v>
      </c>
      <c r="E526" s="539"/>
      <c r="F526" s="539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</row>
    <row r="527" spans="1:26" ht="19" hidden="1">
      <c r="A527" s="561"/>
      <c r="B527" s="566"/>
      <c r="C527" s="562"/>
      <c r="D527" s="563"/>
      <c r="E527" s="562" t="s">
        <v>185</v>
      </c>
      <c r="F527" s="562"/>
      <c r="G527" s="56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</row>
    <row r="528" spans="1:26" ht="19" hidden="1">
      <c r="A528" s="561"/>
      <c r="B528" s="566"/>
      <c r="C528" s="562"/>
      <c r="D528" s="563"/>
      <c r="E528" s="562" t="s">
        <v>186</v>
      </c>
      <c r="F528" s="562"/>
      <c r="G528" s="56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IFERROR(__xludf.DUMMYFUNCTION("IMPORTRANGE(""https://docs.google.com/spreadsheets/d/1QqKyyYR6Q21VydFLVH3TRQUabQu_ym0Zz7PgGX0-kHA/edit?usp=sharing"",""แผน!GQ60"")"),0)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</row>
    <row r="529" spans="1:26" ht="19" hidden="1">
      <c r="A529" s="537"/>
      <c r="B529" s="538"/>
      <c r="C529" s="539"/>
      <c r="D529" s="539"/>
      <c r="E529" s="539"/>
      <c r="F529" s="539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1">
        <v>0</v>
      </c>
      <c r="O529" s="38"/>
      <c r="P529" s="38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</row>
    <row r="530" spans="1:26" ht="19" hidden="1">
      <c r="A530" s="537"/>
      <c r="B530" s="538"/>
      <c r="C530" s="539"/>
      <c r="D530" s="539"/>
      <c r="E530" s="539"/>
      <c r="F530" s="539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1">
        <v>0</v>
      </c>
      <c r="O530" s="38"/>
      <c r="P530" s="38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</row>
    <row r="531" spans="1:26" ht="19" hidden="1">
      <c r="A531" s="537"/>
      <c r="B531" s="538"/>
      <c r="C531" s="539"/>
      <c r="D531" s="539"/>
      <c r="E531" s="539"/>
      <c r="F531" s="539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1">
        <v>0</v>
      </c>
      <c r="O531" s="38"/>
      <c r="P531" s="38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</row>
    <row r="532" spans="1:26" ht="19" hidden="1">
      <c r="A532" s="537"/>
      <c r="B532" s="538"/>
      <c r="C532" s="539"/>
      <c r="D532" s="539"/>
      <c r="E532" s="539"/>
      <c r="F532" s="539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1">
        <v>0</v>
      </c>
      <c r="O532" s="38"/>
      <c r="P532" s="38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</row>
    <row r="533" spans="1:26" ht="19" hidden="1">
      <c r="A533" s="559"/>
      <c r="B533" s="538"/>
      <c r="C533" s="539"/>
      <c r="D533" s="567" t="s">
        <v>21</v>
      </c>
      <c r="E533" s="539"/>
      <c r="F533" s="539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</row>
    <row r="534" spans="1:26" ht="19" hidden="1">
      <c r="A534" s="561"/>
      <c r="B534" s="566"/>
      <c r="C534" s="562"/>
      <c r="D534" s="562"/>
      <c r="E534" s="562" t="s">
        <v>18</v>
      </c>
      <c r="F534" s="562"/>
      <c r="G534" s="56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</row>
    <row r="535" spans="1:26" ht="19" hidden="1">
      <c r="A535" s="561"/>
      <c r="B535" s="566"/>
      <c r="C535" s="562"/>
      <c r="D535" s="562"/>
      <c r="E535" s="562" t="s">
        <v>19</v>
      </c>
      <c r="F535" s="562"/>
      <c r="G535" s="56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IFERROR(__xludf.DUMMYFUNCTION("IMPORTRANGE(""https://docs.google.com/spreadsheets/d/1QqKyyYR6Q21VydFLVH3TRQUabQu_ym0Zz7PgGX0-kHA/edit?usp=sharing"",""แผน!GT60"")"),0)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</row>
    <row r="536" spans="1:26" ht="19" hidden="1">
      <c r="A536" s="568"/>
      <c r="B536" s="569"/>
      <c r="C536" s="539" t="s">
        <v>16</v>
      </c>
      <c r="D536" s="819" t="s">
        <v>38</v>
      </c>
      <c r="E536" s="572"/>
      <c r="F536" s="572"/>
      <c r="G536" s="573"/>
      <c r="H536" s="174"/>
      <c r="I536" s="161"/>
      <c r="J536" s="161"/>
      <c r="K536" s="162"/>
      <c r="L536" s="162"/>
      <c r="M536" s="162"/>
      <c r="N536" s="162"/>
      <c r="O536" s="162"/>
      <c r="P536" s="162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</row>
    <row r="537" spans="1:26" ht="19" hidden="1">
      <c r="A537" s="537"/>
      <c r="B537" s="538"/>
      <c r="C537" s="539"/>
      <c r="D537" s="539" t="s">
        <v>228</v>
      </c>
      <c r="E537" s="539"/>
      <c r="F537" s="539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IFERROR(__xludf.DUMMYFUNCTION("IMPORTRANGE(""https://docs.google.com/spreadsheets/d/1QqKyyYR6Q21VydFLVH3TRQUabQu_ym0Zz7PgGX0-kHA/edit?usp=sharing"",""แผน!GU60"")"),0)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1"/>
      <c r="R537" s="631"/>
      <c r="S537" s="631"/>
      <c r="T537" s="631"/>
      <c r="U537" s="631"/>
      <c r="V537" s="631"/>
      <c r="W537" s="631"/>
      <c r="X537" s="631"/>
      <c r="Y537" s="631"/>
      <c r="Z537" s="631"/>
    </row>
    <row r="538" spans="1:26" ht="19" hidden="1">
      <c r="A538" s="537"/>
      <c r="B538" s="538"/>
      <c r="C538" s="539"/>
      <c r="D538" s="539"/>
      <c r="E538" s="539" t="s">
        <v>229</v>
      </c>
      <c r="F538" s="539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IFERROR(__xludf.DUMMYFUNCTION("IMPORTRANGE(""https://docs.google.com/spreadsheets/d/1QqKyyYR6Q21VydFLVH3TRQUabQu_ym0Zz7PgGX0-kHA/edit?usp=sharing"",""แผน!GV60"")"),0)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1"/>
      <c r="R538" s="631"/>
      <c r="S538" s="631"/>
      <c r="T538" s="631"/>
      <c r="U538" s="631"/>
      <c r="V538" s="631"/>
      <c r="W538" s="631"/>
      <c r="X538" s="631"/>
      <c r="Y538" s="631"/>
      <c r="Z538" s="631"/>
    </row>
    <row r="539" spans="1:26" ht="19" hidden="1">
      <c r="A539" s="537"/>
      <c r="B539" s="538"/>
      <c r="C539" s="539"/>
      <c r="D539" s="539"/>
      <c r="E539" s="539" t="s">
        <v>230</v>
      </c>
      <c r="F539" s="539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IFERROR(__xludf.DUMMYFUNCTION("IMPORTRANGE(""https://docs.google.com/spreadsheets/d/1QqKyyYR6Q21VydFLVH3TRQUabQu_ym0Zz7PgGX0-kHA/edit?usp=sharing"",""แผน!GW60"")"),0)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1"/>
      <c r="R539" s="631"/>
      <c r="S539" s="631"/>
      <c r="T539" s="631"/>
      <c r="U539" s="631"/>
      <c r="V539" s="631"/>
      <c r="W539" s="631"/>
      <c r="X539" s="631"/>
      <c r="Y539" s="631"/>
      <c r="Z539" s="631"/>
    </row>
    <row r="540" spans="1:26" ht="19" hidden="1">
      <c r="A540" s="537"/>
      <c r="B540" s="538"/>
      <c r="C540" s="539"/>
      <c r="D540" s="539"/>
      <c r="E540" s="539" t="s">
        <v>231</v>
      </c>
      <c r="F540" s="539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IFERROR(__xludf.DUMMYFUNCTION("IMPORTRANGE(""https://docs.google.com/spreadsheets/d/1QqKyyYR6Q21VydFLVH3TRQUabQu_ym0Zz7PgGX0-kHA/edit?usp=sharing"",""แผน!GX60"")"),0)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1"/>
      <c r="R540" s="631"/>
      <c r="S540" s="631"/>
      <c r="T540" s="631"/>
      <c r="U540" s="631"/>
      <c r="V540" s="631"/>
      <c r="W540" s="631"/>
      <c r="X540" s="631"/>
      <c r="Y540" s="631"/>
      <c r="Z540" s="631"/>
    </row>
    <row r="541" spans="1:26" ht="19" hidden="1">
      <c r="A541" s="537"/>
      <c r="B541" s="538"/>
      <c r="C541" s="539"/>
      <c r="D541" s="539"/>
      <c r="E541" s="632" t="s">
        <v>232</v>
      </c>
      <c r="F541" s="539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IFERROR(__xludf.DUMMYFUNCTION("IMPORTRANGE(""https://docs.google.com/spreadsheets/d/1QqKyyYR6Q21VydFLVH3TRQUabQu_ym0Zz7PgGX0-kHA/edit?usp=sharing"",""แผน!GY60"")"),0)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1"/>
      <c r="R541" s="631"/>
      <c r="S541" s="631"/>
      <c r="T541" s="631"/>
      <c r="U541" s="631"/>
      <c r="V541" s="631"/>
      <c r="W541" s="631"/>
      <c r="X541" s="631"/>
      <c r="Y541" s="631"/>
      <c r="Z541" s="631"/>
    </row>
    <row r="542" spans="1:26" ht="19" hidden="1">
      <c r="A542" s="537"/>
      <c r="B542" s="538"/>
      <c r="C542" s="539"/>
      <c r="D542" s="539" t="s">
        <v>59</v>
      </c>
      <c r="E542" s="539"/>
      <c r="F542" s="539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IFERROR(__xludf.DUMMYFUNCTION("IMPORTRANGE(""https://docs.google.com/spreadsheets/d/1QqKyyYR6Q21VydFLVH3TRQUabQu_ym0Zz7PgGX0-kHA/edit?usp=sharing"",""แผน!GZ60"")"),0)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1"/>
      <c r="R542" s="631"/>
      <c r="S542" s="631"/>
      <c r="T542" s="631"/>
      <c r="U542" s="631"/>
      <c r="V542" s="631"/>
      <c r="W542" s="631"/>
      <c r="X542" s="631"/>
      <c r="Y542" s="631"/>
      <c r="Z542" s="631"/>
    </row>
    <row r="543" spans="1:26" ht="19">
      <c r="A543" s="615">
        <v>6</v>
      </c>
      <c r="B543" s="633" t="s">
        <v>233</v>
      </c>
      <c r="C543" s="618"/>
      <c r="D543" s="618"/>
      <c r="E543" s="618"/>
      <c r="F543" s="618"/>
      <c r="G543" s="619"/>
      <c r="H543" s="634" t="s">
        <v>46</v>
      </c>
      <c r="I543" s="635">
        <f t="shared" ref="I543:J543" ca="1" si="234">I559</f>
        <v>0</v>
      </c>
      <c r="J543" s="635">
        <f t="shared" si="234"/>
        <v>0</v>
      </c>
      <c r="K543" s="636">
        <f t="shared" ca="1" si="233"/>
        <v>0</v>
      </c>
      <c r="L543" s="621"/>
      <c r="M543" s="621"/>
      <c r="N543" s="621"/>
      <c r="O543" s="621"/>
      <c r="P543" s="621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</row>
    <row r="544" spans="1:26" ht="19">
      <c r="A544" s="637"/>
      <c r="B544" s="638"/>
      <c r="C544" s="638" t="s">
        <v>16</v>
      </c>
      <c r="D544" s="820" t="s">
        <v>17</v>
      </c>
      <c r="E544" s="793"/>
      <c r="F544" s="793"/>
      <c r="G544" s="639"/>
      <c r="H544" s="263" t="s">
        <v>12</v>
      </c>
      <c r="I544" s="152"/>
      <c r="J544" s="152"/>
      <c r="K544" s="153"/>
      <c r="L544" s="154">
        <f t="shared" ref="L544:N544" ca="1" si="235">L545+L546</f>
        <v>120300</v>
      </c>
      <c r="M544" s="154">
        <f t="shared" ca="1" si="235"/>
        <v>120300</v>
      </c>
      <c r="N544" s="154">
        <f t="shared" si="235"/>
        <v>78814</v>
      </c>
      <c r="O544" s="154">
        <f t="shared" ref="O544:O549" ca="1" si="236">IF(L544&gt;0,N544*100/L544,0)</f>
        <v>65.514546965918541</v>
      </c>
      <c r="P544" s="154">
        <f t="shared" ref="P544:P549" ca="1" si="237">IF(M544&gt;0,N544*100/M544,0)</f>
        <v>65.514546965918541</v>
      </c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</row>
    <row r="545" spans="1:26" ht="19" hidden="1">
      <c r="A545" s="561"/>
      <c r="B545" s="562"/>
      <c r="C545" s="562"/>
      <c r="D545" s="562"/>
      <c r="E545" s="562" t="s">
        <v>185</v>
      </c>
      <c r="F545" s="562"/>
      <c r="G545" s="564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</row>
    <row r="546" spans="1:26" ht="19" hidden="1">
      <c r="A546" s="561"/>
      <c r="B546" s="566"/>
      <c r="C546" s="562"/>
      <c r="D546" s="562"/>
      <c r="E546" s="562" t="s">
        <v>186</v>
      </c>
      <c r="F546" s="562"/>
      <c r="G546" s="564"/>
      <c r="H546" s="164" t="s">
        <v>12</v>
      </c>
      <c r="I546" s="44"/>
      <c r="J546" s="44"/>
      <c r="K546" s="45"/>
      <c r="L546" s="45">
        <f t="shared" ca="1" si="238"/>
        <v>120300</v>
      </c>
      <c r="M546" s="45">
        <f t="shared" ca="1" si="239"/>
        <v>120300</v>
      </c>
      <c r="N546" s="45">
        <f t="shared" si="239"/>
        <v>78814</v>
      </c>
      <c r="O546" s="45">
        <f t="shared" ca="1" si="236"/>
        <v>65.514546965918541</v>
      </c>
      <c r="P546" s="45">
        <f t="shared" ca="1" si="237"/>
        <v>65.514546965918541</v>
      </c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</row>
    <row r="547" spans="1:26" ht="19">
      <c r="A547" s="559"/>
      <c r="B547" s="538"/>
      <c r="C547" s="539"/>
      <c r="D547" s="567" t="s">
        <v>20</v>
      </c>
      <c r="E547" s="539"/>
      <c r="F547" s="539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120300</v>
      </c>
      <c r="M547" s="38">
        <f t="shared" ca="1" si="240"/>
        <v>120300</v>
      </c>
      <c r="N547" s="38">
        <f t="shared" si="240"/>
        <v>78814</v>
      </c>
      <c r="O547" s="38">
        <f t="shared" ca="1" si="236"/>
        <v>65.514546965918541</v>
      </c>
      <c r="P547" s="38">
        <f t="shared" ca="1" si="237"/>
        <v>65.514546965918541</v>
      </c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</row>
    <row r="548" spans="1:26" ht="19" hidden="1">
      <c r="A548" s="561"/>
      <c r="B548" s="566"/>
      <c r="C548" s="562"/>
      <c r="D548" s="563"/>
      <c r="E548" s="562" t="s">
        <v>185</v>
      </c>
      <c r="F548" s="562"/>
      <c r="G548" s="56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</row>
    <row r="549" spans="1:26" ht="19" hidden="1">
      <c r="A549" s="561"/>
      <c r="B549" s="566"/>
      <c r="C549" s="562"/>
      <c r="D549" s="563"/>
      <c r="E549" s="562" t="s">
        <v>186</v>
      </c>
      <c r="F549" s="562"/>
      <c r="G549" s="56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IFERROR(__xludf.DUMMYFUNCTION("IMPORTRANGE(""https://docs.google.com/spreadsheets/d/1QqKyyYR6Q21VydFLVH3TRQUabQu_ym0Zz7PgGX0-kHA/edit?usp=sharing"",""แผน!HB60"")"),120300)</f>
        <v>120300</v>
      </c>
      <c r="M549" s="45">
        <f ca="1">L549</f>
        <v>120300</v>
      </c>
      <c r="N549" s="45">
        <f>N550+N551+N552+N553+N554</f>
        <v>78814</v>
      </c>
      <c r="O549" s="45">
        <f t="shared" ca="1" si="236"/>
        <v>65.514546965918541</v>
      </c>
      <c r="P549" s="45">
        <f t="shared" ca="1" si="237"/>
        <v>65.514546965918541</v>
      </c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</row>
    <row r="550" spans="1:26" ht="19">
      <c r="A550" s="537"/>
      <c r="B550" s="538"/>
      <c r="C550" s="539"/>
      <c r="D550" s="539"/>
      <c r="E550" s="539"/>
      <c r="F550" s="539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1">
        <v>0</v>
      </c>
      <c r="O550" s="38"/>
      <c r="P550" s="38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</row>
    <row r="551" spans="1:26" ht="19">
      <c r="A551" s="537"/>
      <c r="B551" s="538"/>
      <c r="C551" s="538"/>
      <c r="D551" s="538"/>
      <c r="E551" s="539"/>
      <c r="F551" s="539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1">
        <v>0</v>
      </c>
      <c r="O551" s="38"/>
      <c r="P551" s="38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</row>
    <row r="552" spans="1:26" ht="19">
      <c r="A552" s="537"/>
      <c r="B552" s="538"/>
      <c r="C552" s="539"/>
      <c r="D552" s="539"/>
      <c r="E552" s="539"/>
      <c r="F552" s="539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1">
        <v>0</v>
      </c>
      <c r="O552" s="38"/>
      <c r="P552" s="38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</row>
    <row r="553" spans="1:26" ht="19">
      <c r="A553" s="537"/>
      <c r="B553" s="538"/>
      <c r="C553" s="538"/>
      <c r="D553" s="538"/>
      <c r="E553" s="539"/>
      <c r="F553" s="539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1">
        <v>78814</v>
      </c>
      <c r="O553" s="38"/>
      <c r="P553" s="38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</row>
    <row r="554" spans="1:26" ht="19">
      <c r="A554" s="537"/>
      <c r="B554" s="538"/>
      <c r="C554" s="538"/>
      <c r="D554" s="538"/>
      <c r="E554" s="539"/>
      <c r="F554" s="539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1">
        <v>0</v>
      </c>
      <c r="O554" s="38"/>
      <c r="P554" s="38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</row>
    <row r="555" spans="1:26" ht="19">
      <c r="A555" s="559"/>
      <c r="B555" s="538"/>
      <c r="C555" s="538"/>
      <c r="D555" s="567" t="s">
        <v>21</v>
      </c>
      <c r="E555" s="539"/>
      <c r="F555" s="539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</row>
    <row r="556" spans="1:26" ht="19" hidden="1">
      <c r="A556" s="561"/>
      <c r="B556" s="566"/>
      <c r="C556" s="566"/>
      <c r="D556" s="562"/>
      <c r="E556" s="562" t="s">
        <v>18</v>
      </c>
      <c r="F556" s="562"/>
      <c r="G556" s="56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</row>
    <row r="557" spans="1:26" ht="19" hidden="1">
      <c r="A557" s="561"/>
      <c r="B557" s="566"/>
      <c r="C557" s="566"/>
      <c r="D557" s="562"/>
      <c r="E557" s="562" t="s">
        <v>19</v>
      </c>
      <c r="F557" s="562"/>
      <c r="G557" s="56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IFERROR(__xludf.DUMMYFUNCTION("IMPORTRANGE(""https://docs.google.com/spreadsheets/d/1QqKyyYR6Q21VydFLVH3TRQUabQu_ym0Zz7PgGX0-kHA/edit?usp=sharing"",""แผน!HF60"")"),0)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</row>
    <row r="558" spans="1:26" ht="19">
      <c r="A558" s="568"/>
      <c r="B558" s="569"/>
      <c r="C558" s="538" t="s">
        <v>16</v>
      </c>
      <c r="D558" s="819" t="s">
        <v>38</v>
      </c>
      <c r="E558" s="572"/>
      <c r="F558" s="572"/>
      <c r="G558" s="573"/>
      <c r="H558" s="174"/>
      <c r="I558" s="161"/>
      <c r="J558" s="161"/>
      <c r="K558" s="162"/>
      <c r="L558" s="162"/>
      <c r="M558" s="162"/>
      <c r="N558" s="162"/>
      <c r="O558" s="162"/>
      <c r="P558" s="162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</row>
    <row r="559" spans="1:26" ht="19" hidden="1">
      <c r="A559" s="640"/>
      <c r="B559" s="641" t="s">
        <v>235</v>
      </c>
      <c r="C559" s="642"/>
      <c r="D559" s="642"/>
      <c r="E559" s="624"/>
      <c r="F559" s="624"/>
      <c r="G559" s="625"/>
      <c r="H559" s="643" t="s">
        <v>46</v>
      </c>
      <c r="I559" s="627">
        <f t="shared" ref="I559:J559" ca="1" si="244">I576</f>
        <v>0</v>
      </c>
      <c r="J559" s="627">
        <f t="shared" si="244"/>
        <v>0</v>
      </c>
      <c r="K559" s="628">
        <f t="shared" ref="K559:K561" ca="1" si="245">IF(I559&gt;0,J559*100/I559,0)</f>
        <v>0</v>
      </c>
      <c r="L559" s="629"/>
      <c r="M559" s="629"/>
      <c r="N559" s="629"/>
      <c r="O559" s="629"/>
      <c r="P559" s="629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</row>
    <row r="560" spans="1:26" ht="19" hidden="1">
      <c r="A560" s="568"/>
      <c r="B560" s="569"/>
      <c r="C560" s="578" t="s">
        <v>236</v>
      </c>
      <c r="D560" s="56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IFERROR(__xludf.DUMMYFUNCTION("IMPORTRANGE(""https://docs.google.com/spreadsheets/d/1QqKyyYR6Q21VydFLVH3TRQUabQu_ym0Zz7PgGX0-kHA/edit?usp=sharing"",""แผน!HH60"")"),0)</f>
        <v>0</v>
      </c>
      <c r="J560" s="189">
        <f t="shared" ref="J560:J561" si="246">J562+J564+J566</f>
        <v>0</v>
      </c>
      <c r="K560" s="390">
        <f t="shared" ca="1" si="245"/>
        <v>0</v>
      </c>
      <c r="L560" s="162"/>
      <c r="M560" s="162"/>
      <c r="N560" s="162"/>
      <c r="O560" s="162"/>
      <c r="P560" s="162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</row>
    <row r="561" spans="1:26" ht="19" hidden="1">
      <c r="A561" s="568"/>
      <c r="B561" s="569"/>
      <c r="C561" s="56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IFERROR(__xludf.DUMMYFUNCTION("IMPORTRANGE(""https://docs.google.com/spreadsheets/d/1QqKyyYR6Q21VydFLVH3TRQUabQu_ym0Zz7PgGX0-kHA/edit?usp=sharing"",""แผน!HG60"")"),0)</f>
        <v>0</v>
      </c>
      <c r="J561" s="189">
        <f t="shared" si="246"/>
        <v>0</v>
      </c>
      <c r="K561" s="390">
        <f t="shared" ca="1" si="245"/>
        <v>0</v>
      </c>
      <c r="L561" s="162"/>
      <c r="M561" s="162"/>
      <c r="N561" s="162"/>
      <c r="O561" s="162"/>
      <c r="P561" s="162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</row>
    <row r="562" spans="1:26" ht="19" hidden="1">
      <c r="A562" s="568"/>
      <c r="B562" s="569"/>
      <c r="C562" s="56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</row>
    <row r="563" spans="1:26" ht="19" hidden="1">
      <c r="A563" s="568"/>
      <c r="B563" s="569"/>
      <c r="C563" s="569"/>
      <c r="D563" s="56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</row>
    <row r="564" spans="1:26" ht="19" hidden="1">
      <c r="A564" s="568"/>
      <c r="B564" s="569"/>
      <c r="C564" s="56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</row>
    <row r="565" spans="1:26" ht="19" hidden="1">
      <c r="A565" s="568"/>
      <c r="B565" s="569"/>
      <c r="C565" s="56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</row>
    <row r="566" spans="1:26" ht="19" hidden="1">
      <c r="A566" s="568"/>
      <c r="B566" s="569"/>
      <c r="C566" s="56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</row>
    <row r="567" spans="1:26" ht="19" hidden="1">
      <c r="A567" s="568"/>
      <c r="B567" s="569"/>
      <c r="C567" s="56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</row>
    <row r="568" spans="1:26" ht="19" hidden="1">
      <c r="A568" s="568"/>
      <c r="B568" s="569"/>
      <c r="C568" s="578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IFERROR(__xludf.DUMMYFUNCTION("IMPORTRANGE(""https://docs.google.com/spreadsheets/d/1QqKyyYR6Q21VydFLVH3TRQUabQu_ym0Zz7PgGX0-kHA/edit?usp=sharing"",""แผน!HH60"")"),0)</f>
        <v>0</v>
      </c>
      <c r="J568" s="190">
        <f t="shared" ref="J568:J569" si="247">J570+J572+J574</f>
        <v>0</v>
      </c>
      <c r="K568" s="390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</row>
    <row r="569" spans="1:26" ht="19" hidden="1">
      <c r="A569" s="568"/>
      <c r="B569" s="569"/>
      <c r="C569" s="569"/>
      <c r="D569" s="56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IFERROR(__xludf.DUMMYFUNCTION("IMPORTRANGE(""https://docs.google.com/spreadsheets/d/1QqKyyYR6Q21VydFLVH3TRQUabQu_ym0Zz7PgGX0-kHA/edit?usp=sharing"",""แผน!HG60"")"),0)</f>
        <v>0</v>
      </c>
      <c r="J569" s="190">
        <f t="shared" si="247"/>
        <v>0</v>
      </c>
      <c r="K569" s="390">
        <f t="shared" ca="1" si="248"/>
        <v>0</v>
      </c>
      <c r="L569" s="162"/>
      <c r="M569" s="162"/>
      <c r="N569" s="162"/>
      <c r="O569" s="162"/>
      <c r="P569" s="162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</row>
    <row r="570" spans="1:26" ht="19" hidden="1">
      <c r="A570" s="568"/>
      <c r="B570" s="569"/>
      <c r="C570" s="569"/>
      <c r="D570" s="184" t="s">
        <v>241</v>
      </c>
      <c r="E570" s="56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</row>
    <row r="571" spans="1:26" ht="19" hidden="1">
      <c r="A571" s="568"/>
      <c r="B571" s="569"/>
      <c r="C571" s="569"/>
      <c r="D571" s="56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</row>
    <row r="572" spans="1:26" ht="19" hidden="1">
      <c r="A572" s="568"/>
      <c r="B572" s="569"/>
      <c r="C572" s="56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</row>
    <row r="573" spans="1:26" ht="19" hidden="1">
      <c r="A573" s="568"/>
      <c r="B573" s="569"/>
      <c r="C573" s="56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</row>
    <row r="574" spans="1:26" ht="19" hidden="1">
      <c r="A574" s="568"/>
      <c r="B574" s="569"/>
      <c r="C574" s="56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</row>
    <row r="575" spans="1:26" ht="19" hidden="1">
      <c r="A575" s="568"/>
      <c r="B575" s="569"/>
      <c r="C575" s="569"/>
      <c r="D575" s="56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</row>
    <row r="576" spans="1:26" ht="19" hidden="1">
      <c r="A576" s="568"/>
      <c r="B576" s="569"/>
      <c r="C576" s="578" t="s">
        <v>244</v>
      </c>
      <c r="D576" s="569"/>
      <c r="E576" s="56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IFERROR(__xludf.DUMMYFUNCTION("IMPORTRANGE(""https://docs.google.com/spreadsheets/d/1QqKyyYR6Q21VydFLVH3TRQUabQu_ym0Zz7PgGX0-kHA/edit?usp=sharing"",""แผน!HH60"")"),0)</f>
        <v>0</v>
      </c>
      <c r="J576" s="190">
        <f t="shared" ref="J576:J577" si="249">J578+J580+J582+J588+J590</f>
        <v>0</v>
      </c>
      <c r="K576" s="390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</row>
    <row r="577" spans="1:26" ht="19" hidden="1">
      <c r="A577" s="568"/>
      <c r="B577" s="569"/>
      <c r="C577" s="569"/>
      <c r="D577" s="56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IFERROR(__xludf.DUMMYFUNCTION("IMPORTRANGE(""https://docs.google.com/spreadsheets/d/1QqKyyYR6Q21VydFLVH3TRQUabQu_ym0Zz7PgGX0-kHA/edit?usp=sharing"",""แผน!HG60"")"),0)</f>
        <v>0</v>
      </c>
      <c r="J577" s="190">
        <f t="shared" si="249"/>
        <v>0</v>
      </c>
      <c r="K577" s="390">
        <f t="shared" ca="1" si="250"/>
        <v>0</v>
      </c>
      <c r="L577" s="162"/>
      <c r="M577" s="162"/>
      <c r="N577" s="162"/>
      <c r="O577" s="162"/>
      <c r="P577" s="162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</row>
    <row r="578" spans="1:26" ht="19" hidden="1">
      <c r="A578" s="568"/>
      <c r="B578" s="569"/>
      <c r="C578" s="56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</row>
    <row r="579" spans="1:26" ht="19" hidden="1">
      <c r="A579" s="568"/>
      <c r="B579" s="569"/>
      <c r="C579" s="569"/>
      <c r="D579" s="56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</row>
    <row r="580" spans="1:26" ht="19" hidden="1">
      <c r="A580" s="568"/>
      <c r="B580" s="569"/>
      <c r="C580" s="56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</row>
    <row r="581" spans="1:26" ht="19" hidden="1">
      <c r="A581" s="568"/>
      <c r="B581" s="569"/>
      <c r="C581" s="569"/>
      <c r="D581" s="56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</row>
    <row r="582" spans="1:26" ht="19" hidden="1">
      <c r="A582" s="568"/>
      <c r="B582" s="569"/>
      <c r="C582" s="56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0"/>
      <c r="L582" s="162"/>
      <c r="M582" s="162"/>
      <c r="N582" s="162"/>
      <c r="O582" s="162"/>
      <c r="P582" s="162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</row>
    <row r="583" spans="1:26" ht="19" hidden="1">
      <c r="A583" s="568"/>
      <c r="B583" s="569"/>
      <c r="C583" s="569"/>
      <c r="D583" s="569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0"/>
      <c r="L583" s="162"/>
      <c r="M583" s="162"/>
      <c r="N583" s="162"/>
      <c r="O583" s="162"/>
      <c r="P583" s="162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</row>
    <row r="584" spans="1:26" ht="19" hidden="1">
      <c r="A584" s="568"/>
      <c r="B584" s="569"/>
      <c r="C584" s="569"/>
      <c r="D584" s="56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</row>
    <row r="585" spans="1:26" ht="19" hidden="1">
      <c r="A585" s="568"/>
      <c r="B585" s="569"/>
      <c r="C585" s="569"/>
      <c r="D585" s="56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</row>
    <row r="586" spans="1:26" ht="19" hidden="1">
      <c r="A586" s="568"/>
      <c r="B586" s="569"/>
      <c r="C586" s="569"/>
      <c r="D586" s="56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</row>
    <row r="587" spans="1:26" ht="19" hidden="1">
      <c r="A587" s="568"/>
      <c r="B587" s="569"/>
      <c r="C587" s="569"/>
      <c r="D587" s="569"/>
      <c r="E587" s="56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</row>
    <row r="588" spans="1:26" ht="19" hidden="1">
      <c r="A588" s="568"/>
      <c r="B588" s="569"/>
      <c r="C588" s="56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</row>
    <row r="589" spans="1:26" ht="19" hidden="1">
      <c r="A589" s="568"/>
      <c r="B589" s="569"/>
      <c r="C589" s="569"/>
      <c r="D589" s="569"/>
      <c r="E589" s="56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</row>
    <row r="590" spans="1:26" ht="19" hidden="1">
      <c r="A590" s="568"/>
      <c r="B590" s="569"/>
      <c r="C590" s="56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</row>
    <row r="591" spans="1:26" ht="19" hidden="1">
      <c r="A591" s="644"/>
      <c r="B591" s="645"/>
      <c r="C591" s="645"/>
      <c r="D591" s="645"/>
      <c r="E591" s="540"/>
      <c r="F591" s="540"/>
      <c r="G591" s="646"/>
      <c r="H591" s="647" t="s">
        <v>34</v>
      </c>
      <c r="I591" s="648"/>
      <c r="J591" s="649">
        <v>0</v>
      </c>
      <c r="K591" s="650"/>
      <c r="L591" s="650"/>
      <c r="M591" s="650"/>
      <c r="N591" s="650"/>
      <c r="O591" s="650"/>
      <c r="P591" s="65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</row>
    <row r="592" spans="1:26" ht="19">
      <c r="A592" s="640"/>
      <c r="B592" s="641" t="s">
        <v>252</v>
      </c>
      <c r="C592" s="642"/>
      <c r="D592" s="642"/>
      <c r="E592" s="624"/>
      <c r="F592" s="624"/>
      <c r="G592" s="625"/>
      <c r="H592" s="643" t="s">
        <v>46</v>
      </c>
      <c r="I592" s="651">
        <f t="shared" ref="I592:J592" ca="1" si="252">I593</f>
        <v>1202.79</v>
      </c>
      <c r="J592" s="627">
        <f t="shared" si="252"/>
        <v>0</v>
      </c>
      <c r="K592" s="628">
        <f t="shared" ref="K592:K594" ca="1" si="253">IF(I592&gt;0,J592*100/I592,0)</f>
        <v>0</v>
      </c>
      <c r="L592" s="629"/>
      <c r="M592" s="629"/>
      <c r="N592" s="629"/>
      <c r="O592" s="629"/>
      <c r="P592" s="629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</row>
    <row r="593" spans="1:26" ht="19">
      <c r="A593" s="568"/>
      <c r="B593" s="569"/>
      <c r="C593" s="578" t="s">
        <v>253</v>
      </c>
      <c r="D593" s="569"/>
      <c r="E593" s="569"/>
      <c r="F593" s="184"/>
      <c r="G593" s="174"/>
      <c r="H593" s="188" t="s">
        <v>46</v>
      </c>
      <c r="I593" s="652">
        <f ca="1">IFERROR(__xludf.DUMMYFUNCTION("IMPORTRANGE(""https://docs.google.com/spreadsheets/d/1QqKyyYR6Q21VydFLVH3TRQUabQu_ym0Zz7PgGX0-kHA/edit?usp=sharing"",""แผน!HJ60"")"),1202.79)</f>
        <v>1202.79</v>
      </c>
      <c r="J593" s="189">
        <f t="shared" ref="J593:J594" si="254">J595+J603+J609</f>
        <v>0</v>
      </c>
      <c r="K593" s="390">
        <f t="shared" ca="1" si="253"/>
        <v>0</v>
      </c>
      <c r="L593" s="162"/>
      <c r="M593" s="162"/>
      <c r="N593" s="162"/>
      <c r="O593" s="162"/>
      <c r="P593" s="162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</row>
    <row r="594" spans="1:26" ht="19">
      <c r="A594" s="568"/>
      <c r="B594" s="569"/>
      <c r="C594" s="569"/>
      <c r="D594" s="56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IFERROR(__xludf.DUMMYFUNCTION("IMPORTRANGE(""https://docs.google.com/spreadsheets/d/1QqKyyYR6Q21VydFLVH3TRQUabQu_ym0Zz7PgGX0-kHA/edit?usp=sharing"",""แผน!HI60"")"),181)</f>
        <v>181</v>
      </c>
      <c r="J594" s="189">
        <f t="shared" si="254"/>
        <v>0</v>
      </c>
      <c r="K594" s="390">
        <f t="shared" ca="1" si="253"/>
        <v>0</v>
      </c>
      <c r="L594" s="162"/>
      <c r="M594" s="162"/>
      <c r="N594" s="162"/>
      <c r="O594" s="162"/>
      <c r="P594" s="162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</row>
    <row r="595" spans="1:26" ht="19">
      <c r="A595" s="568"/>
      <c r="B595" s="569"/>
      <c r="C595" s="569" t="s">
        <v>254</v>
      </c>
      <c r="D595" s="569"/>
      <c r="E595" s="569"/>
      <c r="F595" s="184"/>
      <c r="G595" s="174"/>
      <c r="H595" s="180" t="s">
        <v>46</v>
      </c>
      <c r="I595" s="161"/>
      <c r="J595" s="161">
        <f t="shared" ref="J595:J596" si="255">J597+J599</f>
        <v>0</v>
      </c>
      <c r="K595" s="162"/>
      <c r="L595" s="162"/>
      <c r="M595" s="162"/>
      <c r="N595" s="162"/>
      <c r="O595" s="162"/>
      <c r="P595" s="162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</row>
    <row r="596" spans="1:26" ht="19">
      <c r="A596" s="568"/>
      <c r="B596" s="569"/>
      <c r="C596" s="569"/>
      <c r="D596" s="569"/>
      <c r="E596" s="184"/>
      <c r="F596" s="184"/>
      <c r="G596" s="174"/>
      <c r="H596" s="180" t="s">
        <v>34</v>
      </c>
      <c r="I596" s="161"/>
      <c r="J596" s="161">
        <f t="shared" si="255"/>
        <v>0</v>
      </c>
      <c r="K596" s="162"/>
      <c r="L596" s="162"/>
      <c r="M596" s="162"/>
      <c r="N596" s="162"/>
      <c r="O596" s="162"/>
      <c r="P596" s="162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</row>
    <row r="597" spans="1:26" ht="19">
      <c r="A597" s="568"/>
      <c r="B597" s="569"/>
      <c r="C597" s="56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</row>
    <row r="598" spans="1:26" ht="19">
      <c r="A598" s="568"/>
      <c r="B598" s="569"/>
      <c r="C598" s="569"/>
      <c r="D598" s="56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</row>
    <row r="599" spans="1:26" ht="19">
      <c r="A599" s="568"/>
      <c r="B599" s="569"/>
      <c r="C599" s="56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</row>
    <row r="600" spans="1:26" ht="19">
      <c r="A600" s="568"/>
      <c r="B600" s="569"/>
      <c r="C600" s="569"/>
      <c r="D600" s="56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</row>
    <row r="601" spans="1:26" ht="19">
      <c r="A601" s="568"/>
      <c r="B601" s="569"/>
      <c r="C601" s="56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</row>
    <row r="602" spans="1:26" ht="19">
      <c r="A602" s="568"/>
      <c r="B602" s="569"/>
      <c r="C602" s="569"/>
      <c r="D602" s="56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</row>
    <row r="603" spans="1:26" ht="19">
      <c r="A603" s="568"/>
      <c r="B603" s="569"/>
      <c r="C603" s="653" t="s">
        <v>258</v>
      </c>
      <c r="D603" s="569"/>
      <c r="E603" s="569"/>
      <c r="F603" s="184"/>
      <c r="G603" s="174"/>
      <c r="H603" s="180" t="s">
        <v>46</v>
      </c>
      <c r="I603" s="37"/>
      <c r="J603" s="37">
        <f t="shared" ref="J603:J604" si="256">J605+J607</f>
        <v>0</v>
      </c>
      <c r="K603" s="162"/>
      <c r="L603" s="162"/>
      <c r="M603" s="162"/>
      <c r="N603" s="162"/>
      <c r="O603" s="162"/>
      <c r="P603" s="162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</row>
    <row r="604" spans="1:26" ht="19">
      <c r="A604" s="568"/>
      <c r="B604" s="569"/>
      <c r="C604" s="569"/>
      <c r="D604" s="569"/>
      <c r="E604" s="184"/>
      <c r="F604" s="184"/>
      <c r="G604" s="174"/>
      <c r="H604" s="180" t="s">
        <v>34</v>
      </c>
      <c r="I604" s="37"/>
      <c r="J604" s="37">
        <f t="shared" si="256"/>
        <v>0</v>
      </c>
      <c r="K604" s="162"/>
      <c r="L604" s="162"/>
      <c r="M604" s="162"/>
      <c r="N604" s="162"/>
      <c r="O604" s="162"/>
      <c r="P604" s="162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</row>
    <row r="605" spans="1:26" ht="19">
      <c r="A605" s="568"/>
      <c r="B605" s="569"/>
      <c r="C605" s="569"/>
      <c r="D605" s="653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</row>
    <row r="606" spans="1:26" ht="19">
      <c r="A606" s="568"/>
      <c r="B606" s="569"/>
      <c r="C606" s="569"/>
      <c r="D606" s="569"/>
      <c r="E606" s="56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</row>
    <row r="607" spans="1:26" ht="19">
      <c r="A607" s="568"/>
      <c r="B607" s="569"/>
      <c r="C607" s="569"/>
      <c r="D607" s="653" t="s">
        <v>260</v>
      </c>
      <c r="E607" s="56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</row>
    <row r="608" spans="1:26" ht="19">
      <c r="A608" s="568"/>
      <c r="B608" s="569"/>
      <c r="C608" s="569"/>
      <c r="D608" s="56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</row>
    <row r="609" spans="1:26" ht="19">
      <c r="A609" s="568"/>
      <c r="B609" s="569"/>
      <c r="C609" s="569" t="s">
        <v>261</v>
      </c>
      <c r="D609" s="569"/>
      <c r="E609" s="56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</row>
    <row r="610" spans="1:26" ht="19">
      <c r="A610" s="568"/>
      <c r="B610" s="569"/>
      <c r="C610" s="569"/>
      <c r="D610" s="56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</row>
    <row r="611" spans="1:26" ht="19" hidden="1">
      <c r="A611" s="640"/>
      <c r="B611" s="654" t="s">
        <v>262</v>
      </c>
      <c r="C611" s="642"/>
      <c r="D611" s="642"/>
      <c r="E611" s="624"/>
      <c r="F611" s="624"/>
      <c r="G611" s="625"/>
      <c r="H611" s="655" t="s">
        <v>46</v>
      </c>
      <c r="I611" s="627">
        <v>0</v>
      </c>
      <c r="J611" s="627">
        <f>J614+J616</f>
        <v>0</v>
      </c>
      <c r="K611" s="628">
        <f t="shared" ref="K611:K613" si="257">IF(I611&gt;0,J611*100/I611,0)</f>
        <v>0</v>
      </c>
      <c r="L611" s="629"/>
      <c r="M611" s="629"/>
      <c r="N611" s="629"/>
      <c r="O611" s="629"/>
      <c r="P611" s="629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</row>
    <row r="612" spans="1:26" ht="19" hidden="1">
      <c r="A612" s="656"/>
      <c r="B612" s="657"/>
      <c r="C612" s="658" t="s">
        <v>263</v>
      </c>
      <c r="D612" s="657"/>
      <c r="E612" s="657"/>
      <c r="F612" s="659"/>
      <c r="G612" s="660"/>
      <c r="H612" s="661" t="s">
        <v>46</v>
      </c>
      <c r="I612" s="662">
        <v>0</v>
      </c>
      <c r="J612" s="662">
        <f t="shared" ref="J612:J613" si="258">J614+J616</f>
        <v>0</v>
      </c>
      <c r="K612" s="663">
        <f t="shared" si="257"/>
        <v>0</v>
      </c>
      <c r="L612" s="664"/>
      <c r="M612" s="664"/>
      <c r="N612" s="664"/>
      <c r="O612" s="664"/>
      <c r="P612" s="664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</row>
    <row r="613" spans="1:26" ht="19" hidden="1">
      <c r="A613" s="656"/>
      <c r="B613" s="657"/>
      <c r="C613" s="657" t="s">
        <v>264</v>
      </c>
      <c r="D613" s="657"/>
      <c r="E613" s="657"/>
      <c r="F613" s="659"/>
      <c r="G613" s="660"/>
      <c r="H613" s="661" t="s">
        <v>34</v>
      </c>
      <c r="I613" s="662">
        <v>0</v>
      </c>
      <c r="J613" s="662">
        <f t="shared" si="258"/>
        <v>0</v>
      </c>
      <c r="K613" s="663">
        <f t="shared" si="257"/>
        <v>0</v>
      </c>
      <c r="L613" s="664"/>
      <c r="M613" s="664"/>
      <c r="N613" s="664"/>
      <c r="O613" s="664"/>
      <c r="P613" s="664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</row>
    <row r="614" spans="1:26" ht="19" hidden="1">
      <c r="A614" s="574"/>
      <c r="B614" s="575"/>
      <c r="C614" s="575"/>
      <c r="D614" s="563" t="s">
        <v>265</v>
      </c>
      <c r="E614" s="575"/>
      <c r="F614" s="563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</row>
    <row r="615" spans="1:26" ht="19" hidden="1">
      <c r="A615" s="574"/>
      <c r="B615" s="575"/>
      <c r="C615" s="575"/>
      <c r="D615" s="575"/>
      <c r="E615" s="575"/>
      <c r="F615" s="563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</row>
    <row r="616" spans="1:26" ht="19" hidden="1">
      <c r="A616" s="574"/>
      <c r="B616" s="575"/>
      <c r="C616" s="575"/>
      <c r="D616" s="665" t="s">
        <v>265</v>
      </c>
      <c r="E616" s="563"/>
      <c r="F616" s="563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</row>
    <row r="617" spans="1:26" ht="19" hidden="1">
      <c r="A617" s="574"/>
      <c r="B617" s="575"/>
      <c r="C617" s="575"/>
      <c r="D617" s="575"/>
      <c r="E617" s="563"/>
      <c r="F617" s="563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</row>
    <row r="618" spans="1:26" ht="19" hidden="1">
      <c r="A618" s="574"/>
      <c r="B618" s="575"/>
      <c r="C618" s="575"/>
      <c r="D618" s="665" t="s">
        <v>266</v>
      </c>
      <c r="E618" s="563"/>
      <c r="F618" s="563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</row>
    <row r="619" spans="1:26" ht="19" hidden="1">
      <c r="A619" s="574"/>
      <c r="B619" s="575"/>
      <c r="C619" s="575"/>
      <c r="D619" s="575"/>
      <c r="E619" s="563"/>
      <c r="F619" s="563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</row>
    <row r="620" spans="1:26" ht="19" hidden="1">
      <c r="A620" s="666"/>
      <c r="B620" s="667"/>
      <c r="C620" s="668" t="s">
        <v>267</v>
      </c>
      <c r="D620" s="667"/>
      <c r="E620" s="667"/>
      <c r="F620" s="669"/>
      <c r="G620" s="670"/>
      <c r="H620" s="671" t="s">
        <v>46</v>
      </c>
      <c r="I620" s="672">
        <f ca="1">IFERROR(__xludf.DUMMYFUNCTION("IMPORTRANGE(""https://docs.google.com/spreadsheets/d/1QqKyyYR6Q21VydFLVH3TRQUabQu_ym0Zz7PgGX0-kHA/edit?usp=sharing"",""แผน!HL60"")"),0)</f>
        <v>0</v>
      </c>
      <c r="J620" s="672">
        <f t="shared" ref="J620:J621" si="259">J622+J624+J626</f>
        <v>0</v>
      </c>
      <c r="K620" s="673">
        <f t="shared" ref="K620:K621" ca="1" si="260">IF(I620&gt;0,J620*100/I620,0)</f>
        <v>0</v>
      </c>
      <c r="L620" s="674"/>
      <c r="M620" s="674"/>
      <c r="N620" s="674"/>
      <c r="O620" s="674"/>
      <c r="P620" s="674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</row>
    <row r="621" spans="1:26" ht="19" hidden="1">
      <c r="A621" s="666"/>
      <c r="B621" s="667"/>
      <c r="C621" s="667" t="s">
        <v>268</v>
      </c>
      <c r="D621" s="667"/>
      <c r="E621" s="667"/>
      <c r="F621" s="669"/>
      <c r="G621" s="670"/>
      <c r="H621" s="671" t="s">
        <v>34</v>
      </c>
      <c r="I621" s="672">
        <f ca="1">IFERROR(__xludf.DUMMYFUNCTION("IMPORTRANGE(""https://docs.google.com/spreadsheets/d/1QqKyyYR6Q21VydFLVH3TRQUabQu_ym0Zz7PgGX0-kHA/edit?usp=sharing"",""แผน!HK60"")"),0)</f>
        <v>0</v>
      </c>
      <c r="J621" s="672">
        <f t="shared" si="259"/>
        <v>0</v>
      </c>
      <c r="K621" s="673">
        <f t="shared" ca="1" si="260"/>
        <v>0</v>
      </c>
      <c r="L621" s="674"/>
      <c r="M621" s="674"/>
      <c r="N621" s="674"/>
      <c r="O621" s="674"/>
      <c r="P621" s="674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</row>
    <row r="622" spans="1:26" ht="19" hidden="1">
      <c r="A622" s="568"/>
      <c r="B622" s="569"/>
      <c r="C622" s="56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</row>
    <row r="623" spans="1:26" ht="19" hidden="1">
      <c r="A623" s="568"/>
      <c r="B623" s="569"/>
      <c r="C623" s="569"/>
      <c r="D623" s="56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</row>
    <row r="624" spans="1:26" ht="19" hidden="1">
      <c r="A624" s="568"/>
      <c r="B624" s="569"/>
      <c r="C624" s="56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</row>
    <row r="625" spans="1:26" ht="19" hidden="1">
      <c r="A625" s="568"/>
      <c r="B625" s="569"/>
      <c r="C625" s="569"/>
      <c r="D625" s="56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</row>
    <row r="626" spans="1:26" ht="19" hidden="1">
      <c r="A626" s="568"/>
      <c r="B626" s="569"/>
      <c r="C626" s="56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</row>
    <row r="627" spans="1:26" ht="19" hidden="1">
      <c r="A627" s="675"/>
      <c r="B627" s="676"/>
      <c r="C627" s="676"/>
      <c r="D627" s="676"/>
      <c r="E627" s="398"/>
      <c r="F627" s="398"/>
      <c r="G627" s="677"/>
      <c r="H627" s="399" t="s">
        <v>34</v>
      </c>
      <c r="I627" s="365"/>
      <c r="J627" s="401">
        <v>0</v>
      </c>
      <c r="K627" s="366"/>
      <c r="L627" s="366"/>
      <c r="M627" s="366"/>
      <c r="N627" s="366"/>
      <c r="O627" s="366"/>
      <c r="P627" s="366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</row>
    <row r="628" spans="1:26" ht="19" hidden="1">
      <c r="A628" s="678">
        <v>7</v>
      </c>
      <c r="B628" s="679" t="s">
        <v>271</v>
      </c>
      <c r="C628" s="680"/>
      <c r="D628" s="680"/>
      <c r="E628" s="680"/>
      <c r="F628" s="680"/>
      <c r="G628" s="681"/>
      <c r="H628" s="682" t="s">
        <v>35</v>
      </c>
      <c r="I628" s="683">
        <f t="shared" ref="I628:J628" ca="1" si="261">I651</f>
        <v>0</v>
      </c>
      <c r="J628" s="683">
        <f t="shared" ca="1" si="261"/>
        <v>0</v>
      </c>
      <c r="K628" s="684">
        <f ca="1">IF(I628&gt;0,J628*100/I628,0)</f>
        <v>0</v>
      </c>
      <c r="L628" s="685"/>
      <c r="M628" s="685"/>
      <c r="N628" s="685"/>
      <c r="O628" s="685"/>
      <c r="P628" s="685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</row>
    <row r="629" spans="1:26" ht="19" hidden="1">
      <c r="A629" s="559"/>
      <c r="B629" s="539"/>
      <c r="C629" s="539" t="s">
        <v>16</v>
      </c>
      <c r="D629" s="794" t="s">
        <v>17</v>
      </c>
      <c r="E629" s="788"/>
      <c r="F629" s="788"/>
      <c r="G629" s="186"/>
      <c r="H629" s="560" t="s">
        <v>12</v>
      </c>
      <c r="I629" s="37"/>
      <c r="J629" s="37"/>
      <c r="K629" s="38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</row>
    <row r="630" spans="1:26" ht="19" hidden="1">
      <c r="A630" s="561"/>
      <c r="B630" s="562"/>
      <c r="C630" s="562"/>
      <c r="D630" s="563"/>
      <c r="E630" s="562" t="s">
        <v>185</v>
      </c>
      <c r="F630" s="562"/>
      <c r="G630" s="564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</row>
    <row r="631" spans="1:26" ht="19" hidden="1">
      <c r="A631" s="561"/>
      <c r="B631" s="566"/>
      <c r="C631" s="562"/>
      <c r="D631" s="563"/>
      <c r="E631" s="562" t="s">
        <v>186</v>
      </c>
      <c r="F631" s="562"/>
      <c r="G631" s="564"/>
      <c r="H631" s="164" t="s">
        <v>12</v>
      </c>
      <c r="I631" s="44"/>
      <c r="J631" s="44"/>
      <c r="K631" s="45"/>
      <c r="L631" s="45">
        <f t="shared" ca="1" si="265"/>
        <v>0</v>
      </c>
      <c r="M631" s="45">
        <f t="shared" si="265"/>
        <v>0</v>
      </c>
      <c r="N631" s="45">
        <f t="shared" si="265"/>
        <v>0</v>
      </c>
      <c r="O631" s="45">
        <f t="shared" ca="1" si="263"/>
        <v>0</v>
      </c>
      <c r="P631" s="45">
        <f t="shared" si="264"/>
        <v>0</v>
      </c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</row>
    <row r="632" spans="1:26" ht="19" hidden="1">
      <c r="A632" s="559"/>
      <c r="B632" s="538"/>
      <c r="C632" s="539"/>
      <c r="D632" s="567" t="s">
        <v>20</v>
      </c>
      <c r="E632" s="539"/>
      <c r="F632" s="539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0</v>
      </c>
      <c r="M632" s="38">
        <f t="shared" si="266"/>
        <v>0</v>
      </c>
      <c r="N632" s="38">
        <f t="shared" si="266"/>
        <v>0</v>
      </c>
      <c r="O632" s="38">
        <f t="shared" ca="1" si="263"/>
        <v>0</v>
      </c>
      <c r="P632" s="38">
        <f t="shared" si="264"/>
        <v>0</v>
      </c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</row>
    <row r="633" spans="1:26" ht="19" hidden="1">
      <c r="A633" s="561"/>
      <c r="B633" s="566"/>
      <c r="C633" s="562"/>
      <c r="D633" s="563"/>
      <c r="E633" s="562" t="s">
        <v>185</v>
      </c>
      <c r="F633" s="562"/>
      <c r="G633" s="56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</row>
    <row r="634" spans="1:26" ht="19" hidden="1">
      <c r="A634" s="561"/>
      <c r="B634" s="566"/>
      <c r="C634" s="562"/>
      <c r="D634" s="563"/>
      <c r="E634" s="562" t="s">
        <v>186</v>
      </c>
      <c r="F634" s="562"/>
      <c r="G634" s="56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IFERROR(__xludf.DUMMYFUNCTION("IMPORTRANGE(""https://docs.google.com/spreadsheets/d/1QqKyyYR6Q21VydFLVH3TRQUabQu_ym0Zz7PgGX0-kHA/edit?usp=sharing"",""แผน!HN60"")"),0)</f>
        <v>0</v>
      </c>
      <c r="M634" s="45">
        <v>0</v>
      </c>
      <c r="N634" s="45">
        <f>N635+N636+N637+N638</f>
        <v>0</v>
      </c>
      <c r="O634" s="45">
        <f t="shared" ca="1" si="263"/>
        <v>0</v>
      </c>
      <c r="P634" s="45">
        <f t="shared" si="264"/>
        <v>0</v>
      </c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</row>
    <row r="635" spans="1:26" ht="19" hidden="1">
      <c r="A635" s="537"/>
      <c r="B635" s="538"/>
      <c r="C635" s="539"/>
      <c r="D635" s="539"/>
      <c r="E635" s="539"/>
      <c r="F635" s="539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1">
        <v>0</v>
      </c>
      <c r="O635" s="38"/>
      <c r="P635" s="38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</row>
    <row r="636" spans="1:26" ht="19" hidden="1">
      <c r="A636" s="537"/>
      <c r="B636" s="538"/>
      <c r="C636" s="539"/>
      <c r="D636" s="539"/>
      <c r="E636" s="539"/>
      <c r="F636" s="539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1">
        <v>0</v>
      </c>
      <c r="O636" s="38"/>
      <c r="P636" s="38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</row>
    <row r="637" spans="1:26" ht="19" hidden="1">
      <c r="A637" s="537"/>
      <c r="B637" s="538"/>
      <c r="C637" s="539"/>
      <c r="D637" s="539"/>
      <c r="E637" s="539"/>
      <c r="F637" s="539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1">
        <v>0</v>
      </c>
      <c r="O637" s="38"/>
      <c r="P637" s="38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</row>
    <row r="638" spans="1:26" ht="19" hidden="1">
      <c r="A638" s="537"/>
      <c r="B638" s="538"/>
      <c r="C638" s="539"/>
      <c r="D638" s="539"/>
      <c r="E638" s="539"/>
      <c r="F638" s="539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1">
        <v>0</v>
      </c>
      <c r="O638" s="38"/>
      <c r="P638" s="38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</row>
    <row r="639" spans="1:26" ht="19" hidden="1">
      <c r="A639" s="559"/>
      <c r="B639" s="538"/>
      <c r="C639" s="539"/>
      <c r="D639" s="567" t="s">
        <v>21</v>
      </c>
      <c r="E639" s="539"/>
      <c r="F639" s="539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</row>
    <row r="640" spans="1:26" ht="19" hidden="1">
      <c r="A640" s="561"/>
      <c r="B640" s="566"/>
      <c r="C640" s="562"/>
      <c r="D640" s="562"/>
      <c r="E640" s="562" t="s">
        <v>18</v>
      </c>
      <c r="F640" s="562"/>
      <c r="G640" s="56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</row>
    <row r="641" spans="1:26" ht="19" hidden="1">
      <c r="A641" s="561"/>
      <c r="B641" s="566"/>
      <c r="C641" s="562"/>
      <c r="D641" s="562"/>
      <c r="E641" s="562" t="s">
        <v>19</v>
      </c>
      <c r="F641" s="562"/>
      <c r="G641" s="56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IFERROR(__xludf.DUMMYFUNCTION("IMPORTRANGE(""https://docs.google.com/spreadsheets/d/1QqKyyYR6Q21VydFLVH3TRQUabQu_ym0Zz7PgGX0-kHA/edit?usp=sharing"",""แผน!HQ60"")"),0)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</row>
    <row r="642" spans="1:26" ht="19" hidden="1">
      <c r="A642" s="568"/>
      <c r="B642" s="569"/>
      <c r="C642" s="539" t="s">
        <v>16</v>
      </c>
      <c r="D642" s="819" t="s">
        <v>38</v>
      </c>
      <c r="E642" s="572"/>
      <c r="F642" s="572"/>
      <c r="G642" s="573"/>
      <c r="H642" s="174"/>
      <c r="I642" s="161"/>
      <c r="J642" s="161"/>
      <c r="K642" s="162"/>
      <c r="L642" s="162"/>
      <c r="M642" s="162"/>
      <c r="N642" s="162"/>
      <c r="O642" s="162"/>
      <c r="P642" s="162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</row>
    <row r="643" spans="1:26" ht="19" hidden="1">
      <c r="A643" s="686"/>
      <c r="B643" s="538"/>
      <c r="C643" s="539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IFERROR(__xludf.DUMMYFUNCTION("IMPORTRANGE(""https://docs.google.com/spreadsheets/d/1QqKyyYR6Q21VydFLVH3TRQUabQu_ym0Zz7PgGX0-kHA/edit?usp=sharing"",""แผน!HR60"")"),0)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</row>
    <row r="644" spans="1:26" ht="19" hidden="1">
      <c r="A644" s="686"/>
      <c r="B644" s="538"/>
      <c r="C644" s="539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IFERROR(__xludf.DUMMYFUNCTION("IMPORTRANGE(""https://docs.google.com/spreadsheets/d/1QqKyyYR6Q21VydFLVH3TRQUabQu_ym0Zz7PgGX0-kHA/edit?usp=sharing"",""แผน!HR60"")"),0)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</row>
    <row r="645" spans="1:26" ht="19" hidden="1">
      <c r="A645" s="686"/>
      <c r="B645" s="538"/>
      <c r="C645" s="539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IFERROR(__xludf.DUMMYFUNCTION("IMPORTRANGE(""https://docs.google.com/spreadsheets/d/1XWAQStnk-4SwqDmLtmXYiTMKHgktTP8We1SCoS47DrQ/edit?usp=sharing"",""จัดที่ดิน!AS60"")"),0)</f>
        <v>0</v>
      </c>
      <c r="K645" s="162">
        <f t="shared" si="270"/>
        <v>0</v>
      </c>
      <c r="L645" s="162"/>
      <c r="M645" s="162"/>
      <c r="N645" s="38"/>
      <c r="O645" s="162"/>
      <c r="P645" s="162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</row>
    <row r="646" spans="1:26" ht="19" hidden="1">
      <c r="A646" s="686"/>
      <c r="B646" s="538"/>
      <c r="C646" s="539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IFERROR(__xludf.DUMMYFUNCTION("IMPORTRANGE(""https://docs.google.com/spreadsheets/d/1XWAQStnk-4SwqDmLtmXYiTMKHgktTP8We1SCoS47DrQ/edit?usp=sharing"",""จัดที่ดิน!AT60"")"),0)</f>
        <v>0</v>
      </c>
      <c r="K646" s="38">
        <f t="shared" si="270"/>
        <v>0</v>
      </c>
      <c r="L646" s="162"/>
      <c r="M646" s="162"/>
      <c r="N646" s="38"/>
      <c r="O646" s="162"/>
      <c r="P646" s="162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</row>
    <row r="647" spans="1:26" ht="19" hidden="1">
      <c r="A647" s="686"/>
      <c r="B647" s="538"/>
      <c r="C647" s="539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IFERROR(__xludf.DUMMYFUNCTION("IMPORTRANGE(""https://docs.google.com/spreadsheets/d/1QqKyyYR6Q21VydFLVH3TRQUabQu_ym0Zz7PgGX0-kHA/edit?usp=sharing"",""แผน!HS60"")"),0)</f>
        <v>0</v>
      </c>
      <c r="J647" s="37">
        <f ca="1">IFERROR(__xludf.DUMMYFUNCTION("IMPORTRANGE(""https://docs.google.com/spreadsheets/d/1XWAQStnk-4SwqDmLtmXYiTMKHgktTP8We1SCoS47DrQ/edit?usp=sharing"",""จัดที่ดิน!AU60"")"),0)</f>
        <v>0</v>
      </c>
      <c r="K647" s="162">
        <f t="shared" ca="1" si="270"/>
        <v>0</v>
      </c>
      <c r="L647" s="162"/>
      <c r="M647" s="162"/>
      <c r="N647" s="162"/>
      <c r="O647" s="162"/>
      <c r="P647" s="162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</row>
    <row r="648" spans="1:26" ht="19" hidden="1">
      <c r="A648" s="686"/>
      <c r="B648" s="538"/>
      <c r="C648" s="539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IFERROR(__xludf.DUMMYFUNCTION("IMPORTRANGE(""https://docs.google.com/spreadsheets/d/1XWAQStnk-4SwqDmLtmXYiTMKHgktTP8We1SCoS47DrQ/edit?usp=sharing"",""จัดที่ดิน!AV60"")"),0)</f>
        <v>0</v>
      </c>
      <c r="K648" s="38">
        <f t="shared" si="270"/>
        <v>0</v>
      </c>
      <c r="L648" s="162"/>
      <c r="M648" s="162"/>
      <c r="N648" s="162"/>
      <c r="O648" s="162"/>
      <c r="P648" s="162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</row>
    <row r="649" spans="1:26" ht="19" hidden="1">
      <c r="A649" s="686"/>
      <c r="B649" s="538"/>
      <c r="C649" s="539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IFERROR(__xludf.DUMMYFUNCTION("IMPORTRANGE(""https://docs.google.com/spreadsheets/d/1QqKyyYR6Q21VydFLVH3TRQUabQu_ym0Zz7PgGX0-kHA/edit?usp=sharing"",""แผน!HS60"")"),0)</f>
        <v>0</v>
      </c>
      <c r="J649" s="37">
        <f ca="1">IFERROR(__xludf.DUMMYFUNCTION("IMPORTRANGE(""https://docs.google.com/spreadsheets/d/1XWAQStnk-4SwqDmLtmXYiTMKHgktTP8We1SCoS47DrQ/edit?usp=sharing"",""จัดที่ดิน!AW60"")"),0)</f>
        <v>0</v>
      </c>
      <c r="K649" s="162">
        <f t="shared" ca="1" si="270"/>
        <v>0</v>
      </c>
      <c r="L649" s="162"/>
      <c r="M649" s="162"/>
      <c r="N649" s="162"/>
      <c r="O649" s="162"/>
      <c r="P649" s="162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</row>
    <row r="650" spans="1:26" ht="19" hidden="1">
      <c r="A650" s="686"/>
      <c r="B650" s="538"/>
      <c r="C650" s="539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IFERROR(__xludf.DUMMYFUNCTION("IMPORTRANGE(""https://docs.google.com/spreadsheets/d/1XWAQStnk-4SwqDmLtmXYiTMKHgktTP8We1SCoS47DrQ/edit?usp=sharing"",""จัดที่ดิน!AX60"")"),0)</f>
        <v>0</v>
      </c>
      <c r="K650" s="38">
        <f t="shared" si="270"/>
        <v>0</v>
      </c>
      <c r="L650" s="162"/>
      <c r="M650" s="162"/>
      <c r="N650" s="162"/>
      <c r="O650" s="162"/>
      <c r="P650" s="162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</row>
    <row r="651" spans="1:26" ht="19" hidden="1">
      <c r="A651" s="686"/>
      <c r="B651" s="538"/>
      <c r="C651" s="539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IFERROR(__xludf.DUMMYFUNCTION("IMPORTRANGE(""https://docs.google.com/spreadsheets/d/1QqKyyYR6Q21VydFLVH3TRQUabQu_ym0Zz7PgGX0-kHA/edit?usp=sharing"",""แผน!HS60"")"),0)</f>
        <v>0</v>
      </c>
      <c r="J651" s="37">
        <f ca="1">IFERROR(__xludf.DUMMYFUNCTION("IMPORTRANGE(""https://docs.google.com/spreadsheets/d/1XWAQStnk-4SwqDmLtmXYiTMKHgktTP8We1SCoS47DrQ/edit?usp=sharing"",""จัดที่ดิน!AY60"")"),0)</f>
        <v>0</v>
      </c>
      <c r="K651" s="162">
        <f t="shared" ca="1" si="270"/>
        <v>0</v>
      </c>
      <c r="L651" s="162"/>
      <c r="M651" s="162"/>
      <c r="N651" s="162"/>
      <c r="O651" s="162"/>
      <c r="P651" s="162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</row>
    <row r="652" spans="1:26" ht="19" hidden="1">
      <c r="A652" s="687"/>
      <c r="B652" s="688"/>
      <c r="C652" s="689"/>
      <c r="D652" s="398"/>
      <c r="E652" s="398"/>
      <c r="F652" s="398"/>
      <c r="G652" s="677"/>
      <c r="H652" s="471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IFERROR(__xludf.DUMMYFUNCTION("IMPORTRANGE(""https://docs.google.com/spreadsheets/d/1XWAQStnk-4SwqDmLtmXYiTMKHgktTP8We1SCoS47DrQ/edit?usp=sharing"",""จัดที่ดิน!AZ60"")"),0)</f>
        <v>0</v>
      </c>
      <c r="K652" s="472">
        <f t="shared" si="270"/>
        <v>0</v>
      </c>
      <c r="L652" s="366"/>
      <c r="M652" s="366"/>
      <c r="N652" s="366"/>
      <c r="O652" s="366"/>
      <c r="P652" s="366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</row>
    <row r="653" spans="1:26" ht="19">
      <c r="A653" s="690">
        <v>8</v>
      </c>
      <c r="B653" s="679" t="s">
        <v>279</v>
      </c>
      <c r="C653" s="680"/>
      <c r="D653" s="680"/>
      <c r="E653" s="680"/>
      <c r="F653" s="680"/>
      <c r="G653" s="681"/>
      <c r="H653" s="681"/>
      <c r="I653" s="691"/>
      <c r="J653" s="691"/>
      <c r="K653" s="685"/>
      <c r="L653" s="685"/>
      <c r="M653" s="685"/>
      <c r="N653" s="685"/>
      <c r="O653" s="685"/>
      <c r="P653" s="685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</row>
    <row r="654" spans="1:26" ht="19" hidden="1">
      <c r="A654" s="624"/>
      <c r="B654" s="623" t="s">
        <v>280</v>
      </c>
      <c r="C654" s="624"/>
      <c r="D654" s="624"/>
      <c r="E654" s="624"/>
      <c r="F654" s="624"/>
      <c r="G654" s="625"/>
      <c r="H654" s="655" t="s">
        <v>46</v>
      </c>
      <c r="I654" s="627">
        <f t="shared" ref="I654:J654" ca="1" si="271">I669</f>
        <v>0</v>
      </c>
      <c r="J654" s="627">
        <f t="shared" si="271"/>
        <v>0</v>
      </c>
      <c r="K654" s="628">
        <f ca="1">IF(I654&gt;0,J654*100/I654,0)</f>
        <v>0</v>
      </c>
      <c r="L654" s="629"/>
      <c r="M654" s="629"/>
      <c r="N654" s="629"/>
      <c r="O654" s="629"/>
      <c r="P654" s="629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</row>
    <row r="655" spans="1:26" ht="19" hidden="1">
      <c r="A655" s="559"/>
      <c r="B655" s="539"/>
      <c r="C655" s="539" t="s">
        <v>16</v>
      </c>
      <c r="D655" s="794" t="s">
        <v>17</v>
      </c>
      <c r="E655" s="788"/>
      <c r="F655" s="788"/>
      <c r="G655" s="186"/>
      <c r="H655" s="560" t="s">
        <v>12</v>
      </c>
      <c r="I655" s="37"/>
      <c r="J655" s="37"/>
      <c r="K655" s="38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</row>
    <row r="656" spans="1:26" ht="19" hidden="1">
      <c r="A656" s="561"/>
      <c r="B656" s="562"/>
      <c r="C656" s="562"/>
      <c r="D656" s="563"/>
      <c r="E656" s="562" t="s">
        <v>185</v>
      </c>
      <c r="F656" s="562"/>
      <c r="G656" s="564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</row>
    <row r="657" spans="1:26" ht="19" hidden="1">
      <c r="A657" s="561"/>
      <c r="B657" s="566"/>
      <c r="C657" s="562"/>
      <c r="D657" s="563"/>
      <c r="E657" s="562" t="s">
        <v>186</v>
      </c>
      <c r="F657" s="562"/>
      <c r="G657" s="564"/>
      <c r="H657" s="164" t="s">
        <v>12</v>
      </c>
      <c r="I657" s="44"/>
      <c r="J657" s="44"/>
      <c r="K657" s="45"/>
      <c r="L657" s="45">
        <f t="shared" ca="1" si="275"/>
        <v>0</v>
      </c>
      <c r="M657" s="45">
        <f t="shared" si="275"/>
        <v>0</v>
      </c>
      <c r="N657" s="45">
        <f t="shared" si="275"/>
        <v>0</v>
      </c>
      <c r="O657" s="45">
        <f t="shared" ca="1" si="273"/>
        <v>0</v>
      </c>
      <c r="P657" s="45">
        <f t="shared" si="274"/>
        <v>0</v>
      </c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</row>
    <row r="658" spans="1:26" ht="19" hidden="1">
      <c r="A658" s="559"/>
      <c r="B658" s="538"/>
      <c r="C658" s="539"/>
      <c r="D658" s="567" t="s">
        <v>20</v>
      </c>
      <c r="E658" s="539"/>
      <c r="F658" s="539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0</v>
      </c>
      <c r="M658" s="38">
        <f t="shared" si="276"/>
        <v>0</v>
      </c>
      <c r="N658" s="38">
        <f t="shared" si="276"/>
        <v>0</v>
      </c>
      <c r="O658" s="38">
        <f t="shared" ca="1" si="273"/>
        <v>0</v>
      </c>
      <c r="P658" s="38">
        <f t="shared" si="274"/>
        <v>0</v>
      </c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</row>
    <row r="659" spans="1:26" ht="19" hidden="1">
      <c r="A659" s="561"/>
      <c r="B659" s="566"/>
      <c r="C659" s="562"/>
      <c r="D659" s="563"/>
      <c r="E659" s="562" t="s">
        <v>185</v>
      </c>
      <c r="F659" s="562"/>
      <c r="G659" s="56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</row>
    <row r="660" spans="1:26" ht="19" hidden="1">
      <c r="A660" s="561"/>
      <c r="B660" s="566"/>
      <c r="C660" s="562"/>
      <c r="D660" s="563"/>
      <c r="E660" s="562" t="s">
        <v>186</v>
      </c>
      <c r="F660" s="562"/>
      <c r="G660" s="56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IFERROR(__xludf.DUMMYFUNCTION("IMPORTRANGE(""https://docs.google.com/spreadsheets/d/1QqKyyYR6Q21VydFLVH3TRQUabQu_ym0Zz7PgGX0-kHA/edit?usp=sharing"",""แผน!HV60"")"),0)</f>
        <v>0</v>
      </c>
      <c r="M660" s="45">
        <v>0</v>
      </c>
      <c r="N660" s="45">
        <f>N661+N662+N663+N664</f>
        <v>0</v>
      </c>
      <c r="O660" s="45">
        <f t="shared" ca="1" si="273"/>
        <v>0</v>
      </c>
      <c r="P660" s="45">
        <f t="shared" si="274"/>
        <v>0</v>
      </c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</row>
    <row r="661" spans="1:26" ht="19" hidden="1">
      <c r="A661" s="537"/>
      <c r="B661" s="538"/>
      <c r="C661" s="539"/>
      <c r="D661" s="539"/>
      <c r="E661" s="539"/>
      <c r="F661" s="539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1">
        <v>0</v>
      </c>
      <c r="O661" s="38"/>
      <c r="P661" s="38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</row>
    <row r="662" spans="1:26" ht="19" hidden="1">
      <c r="A662" s="537"/>
      <c r="B662" s="538"/>
      <c r="C662" s="539"/>
      <c r="D662" s="539"/>
      <c r="E662" s="539"/>
      <c r="F662" s="539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1">
        <v>0</v>
      </c>
      <c r="O662" s="38"/>
      <c r="P662" s="38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</row>
    <row r="663" spans="1:26" ht="19" hidden="1">
      <c r="A663" s="537"/>
      <c r="B663" s="538"/>
      <c r="C663" s="538"/>
      <c r="D663" s="539"/>
      <c r="E663" s="539"/>
      <c r="F663" s="539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1">
        <v>0</v>
      </c>
      <c r="O663" s="38"/>
      <c r="P663" s="38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</row>
    <row r="664" spans="1:26" ht="19" hidden="1">
      <c r="A664" s="537"/>
      <c r="B664" s="538"/>
      <c r="C664" s="538"/>
      <c r="D664" s="538"/>
      <c r="E664" s="539"/>
      <c r="F664" s="539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1">
        <v>0</v>
      </c>
      <c r="O664" s="38"/>
      <c r="P664" s="38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</row>
    <row r="665" spans="1:26" ht="19" hidden="1">
      <c r="A665" s="559"/>
      <c r="B665" s="538"/>
      <c r="C665" s="538"/>
      <c r="D665" s="567" t="s">
        <v>21</v>
      </c>
      <c r="E665" s="539"/>
      <c r="F665" s="539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</row>
    <row r="666" spans="1:26" ht="19" hidden="1">
      <c r="A666" s="561"/>
      <c r="B666" s="566"/>
      <c r="C666" s="566"/>
      <c r="D666" s="566"/>
      <c r="E666" s="562" t="s">
        <v>18</v>
      </c>
      <c r="F666" s="562"/>
      <c r="G666" s="56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</row>
    <row r="667" spans="1:26" ht="19" hidden="1">
      <c r="A667" s="561"/>
      <c r="B667" s="566"/>
      <c r="C667" s="566"/>
      <c r="D667" s="566"/>
      <c r="E667" s="562" t="s">
        <v>19</v>
      </c>
      <c r="F667" s="562"/>
      <c r="G667" s="56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</row>
    <row r="668" spans="1:26" ht="19" hidden="1">
      <c r="A668" s="568"/>
      <c r="B668" s="569"/>
      <c r="C668" s="538" t="s">
        <v>16</v>
      </c>
      <c r="D668" s="816" t="s">
        <v>38</v>
      </c>
      <c r="E668" s="572"/>
      <c r="F668" s="572"/>
      <c r="G668" s="573"/>
      <c r="H668" s="174"/>
      <c r="I668" s="161"/>
      <c r="J668" s="161"/>
      <c r="K668" s="162"/>
      <c r="L668" s="162"/>
      <c r="M668" s="162"/>
      <c r="N668" s="162"/>
      <c r="O668" s="162"/>
      <c r="P668" s="162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</row>
    <row r="669" spans="1:26" ht="19" hidden="1">
      <c r="A669" s="568"/>
      <c r="B669" s="569"/>
      <c r="C669" s="569"/>
      <c r="D669" s="56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IFERROR(__xludf.DUMMYFUNCTION("IMPORTRANGE(""https://docs.google.com/spreadsheets/d/1QqKyyYR6Q21VydFLVH3TRQUabQu_ym0Zz7PgGX0-kHA/edit?usp=sharing"",""แผน!IA60"")"),0)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</row>
    <row r="670" spans="1:26" ht="19" hidden="1">
      <c r="A670" s="568"/>
      <c r="B670" s="569"/>
      <c r="C670" s="569"/>
      <c r="D670" s="56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IFERROR(__xludf.DUMMYFUNCTION("IMPORTRANGE(""https://docs.google.com/spreadsheets/d/1QqKyyYR6Q21VydFLVH3TRQUabQu_ym0Zz7PgGX0-kHA/edit?usp=sharing"",""แผน!HZ60"")"),0)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</row>
    <row r="671" spans="1:26" ht="19" hidden="1">
      <c r="A671" s="568"/>
      <c r="B671" s="569"/>
      <c r="C671" s="569"/>
      <c r="D671" s="56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IFERROR(__xludf.DUMMYFUNCTION("IMPORTRANGE(""https://docs.google.com/spreadsheets/d/1QqKyyYR6Q21VydFLVH3TRQUabQu_ym0Zz7PgGX0-kHA/edit?usp=sharing"",""แผน!HZ60"")"),0)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</row>
    <row r="672" spans="1:26" ht="19" hidden="1">
      <c r="A672" s="568"/>
      <c r="B672" s="569"/>
      <c r="C672" s="569"/>
      <c r="D672" s="56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0">IF(I$669&gt;0,J672*100/I$669,0)</f>
        <v>0</v>
      </c>
      <c r="L672" s="162"/>
      <c r="M672" s="162"/>
      <c r="N672" s="162"/>
      <c r="O672" s="162"/>
      <c r="P672" s="162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</row>
    <row r="673" spans="1:26" ht="19" hidden="1">
      <c r="A673" s="568"/>
      <c r="B673" s="569"/>
      <c r="C673" s="569"/>
      <c r="D673" s="56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0"/>
        <v>0</v>
      </c>
      <c r="L673" s="162"/>
      <c r="M673" s="162"/>
      <c r="N673" s="162"/>
      <c r="O673" s="162"/>
      <c r="P673" s="162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</row>
    <row r="674" spans="1:26" ht="19" hidden="1">
      <c r="A674" s="568"/>
      <c r="B674" s="569"/>
      <c r="C674" s="569"/>
      <c r="D674" s="56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</row>
    <row r="675" spans="1:26" ht="19" hidden="1">
      <c r="A675" s="568"/>
      <c r="B675" s="569"/>
      <c r="C675" s="569"/>
      <c r="D675" s="56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</row>
    <row r="676" spans="1:26" ht="19" hidden="1">
      <c r="A676" s="568"/>
      <c r="B676" s="569"/>
      <c r="C676" s="569"/>
      <c r="D676" s="56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</row>
    <row r="677" spans="1:26" ht="19" hidden="1">
      <c r="A677" s="568"/>
      <c r="B677" s="569"/>
      <c r="C677" s="569"/>
      <c r="D677" s="56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</row>
    <row r="678" spans="1:26" ht="19" hidden="1">
      <c r="A678" s="568"/>
      <c r="B678" s="569"/>
      <c r="C678" s="569"/>
      <c r="D678" s="56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IFERROR(__xludf.DUMMYFUNCTION("IMPORTRANGE(""https://docs.google.com/spreadsheets/d/1QqKyyYR6Q21VydFLVH3TRQUabQu_ym0Zz7PgGX0-kHA/edit?usp=sharing"",""แผน!IB60"")"),0)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</row>
    <row r="679" spans="1:26" ht="19" hidden="1">
      <c r="A679" s="568"/>
      <c r="B679" s="569"/>
      <c r="C679" s="569"/>
      <c r="D679" s="56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</row>
    <row r="680" spans="1:26" ht="19" hidden="1">
      <c r="A680" s="568"/>
      <c r="B680" s="569"/>
      <c r="C680" s="569"/>
      <c r="D680" s="56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</row>
    <row r="681" spans="1:26" ht="19" hidden="1">
      <c r="A681" s="568"/>
      <c r="B681" s="569"/>
      <c r="C681" s="569"/>
      <c r="D681" s="56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</row>
    <row r="682" spans="1:26" ht="19" hidden="1">
      <c r="A682" s="568"/>
      <c r="B682" s="569"/>
      <c r="C682" s="569"/>
      <c r="D682" s="56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</row>
    <row r="683" spans="1:26" ht="19" hidden="1">
      <c r="A683" s="568"/>
      <c r="B683" s="569"/>
      <c r="C683" s="569"/>
      <c r="D683" s="56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</row>
    <row r="684" spans="1:26" ht="19">
      <c r="A684" s="692"/>
      <c r="B684" s="693" t="s">
        <v>294</v>
      </c>
      <c r="C684" s="692"/>
      <c r="D684" s="692"/>
      <c r="E684" s="692"/>
      <c r="F684" s="692"/>
      <c r="G684" s="694"/>
      <c r="H684" s="694"/>
      <c r="I684" s="695"/>
      <c r="J684" s="695"/>
      <c r="K684" s="696"/>
      <c r="L684" s="696"/>
      <c r="M684" s="696"/>
      <c r="N684" s="696"/>
      <c r="O684" s="696"/>
      <c r="P684" s="696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</row>
    <row r="685" spans="1:26" ht="19">
      <c r="A685" s="559"/>
      <c r="B685" s="539"/>
      <c r="C685" s="539" t="s">
        <v>16</v>
      </c>
      <c r="D685" s="794" t="s">
        <v>17</v>
      </c>
      <c r="E685" s="788"/>
      <c r="F685" s="788"/>
      <c r="G685" s="186"/>
      <c r="H685" s="560" t="s">
        <v>12</v>
      </c>
      <c r="I685" s="37"/>
      <c r="J685" s="37"/>
      <c r="K685" s="38"/>
      <c r="L685" s="191">
        <f t="shared" ref="L685:N685" ca="1" si="281">L686+L687</f>
        <v>4380</v>
      </c>
      <c r="M685" s="191">
        <f t="shared" ca="1" si="281"/>
        <v>4380</v>
      </c>
      <c r="N685" s="191">
        <f t="shared" si="281"/>
        <v>4380</v>
      </c>
      <c r="O685" s="191">
        <f t="shared" ref="O685:O688" ca="1" si="282">IF(L685&gt;0,N685*100/L685,0)</f>
        <v>100</v>
      </c>
      <c r="P685" s="191">
        <f t="shared" ref="P685:P688" ca="1" si="283">IF(M685&gt;0,N685*100/M685,0)</f>
        <v>100</v>
      </c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</row>
    <row r="686" spans="1:26" ht="19" hidden="1">
      <c r="A686" s="561"/>
      <c r="B686" s="562"/>
      <c r="C686" s="562"/>
      <c r="D686" s="563"/>
      <c r="E686" s="562" t="s">
        <v>185</v>
      </c>
      <c r="F686" s="562"/>
      <c r="G686" s="564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</row>
    <row r="687" spans="1:26" ht="19" hidden="1">
      <c r="A687" s="561"/>
      <c r="B687" s="566"/>
      <c r="C687" s="562"/>
      <c r="D687" s="563"/>
      <c r="E687" s="562" t="s">
        <v>186</v>
      </c>
      <c r="F687" s="562"/>
      <c r="G687" s="564"/>
      <c r="H687" s="164" t="s">
        <v>12</v>
      </c>
      <c r="I687" s="44"/>
      <c r="J687" s="44"/>
      <c r="K687" s="45"/>
      <c r="L687" s="45">
        <f t="shared" ca="1" si="284"/>
        <v>4380</v>
      </c>
      <c r="M687" s="45">
        <f t="shared" ca="1" si="284"/>
        <v>4380</v>
      </c>
      <c r="N687" s="45">
        <f t="shared" si="284"/>
        <v>4380</v>
      </c>
      <c r="O687" s="45">
        <f t="shared" ca="1" si="282"/>
        <v>100</v>
      </c>
      <c r="P687" s="45">
        <f t="shared" ca="1" si="283"/>
        <v>100</v>
      </c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</row>
    <row r="688" spans="1:26" ht="19">
      <c r="A688" s="559"/>
      <c r="B688" s="538"/>
      <c r="C688" s="539"/>
      <c r="D688" s="567" t="s">
        <v>20</v>
      </c>
      <c r="E688" s="539"/>
      <c r="F688" s="539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4380</v>
      </c>
      <c r="M688" s="38">
        <f t="shared" ca="1" si="285"/>
        <v>4380</v>
      </c>
      <c r="N688" s="38">
        <f t="shared" si="285"/>
        <v>4380</v>
      </c>
      <c r="O688" s="38">
        <f t="shared" ca="1" si="282"/>
        <v>100</v>
      </c>
      <c r="P688" s="38">
        <f t="shared" ca="1" si="283"/>
        <v>100</v>
      </c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</row>
    <row r="689" spans="1:26" ht="19" hidden="1">
      <c r="A689" s="561"/>
      <c r="B689" s="566"/>
      <c r="C689" s="562"/>
      <c r="D689" s="563"/>
      <c r="E689" s="562" t="s">
        <v>185</v>
      </c>
      <c r="F689" s="562"/>
      <c r="G689" s="56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</row>
    <row r="690" spans="1:26" ht="19" hidden="1">
      <c r="A690" s="561"/>
      <c r="B690" s="566"/>
      <c r="C690" s="562"/>
      <c r="D690" s="563"/>
      <c r="E690" s="562" t="s">
        <v>186</v>
      </c>
      <c r="F690" s="562"/>
      <c r="G690" s="56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IFERROR(__xludf.DUMMYFUNCTION("IMPORTRANGE(""https://docs.google.com/spreadsheets/d/1QqKyyYR6Q21VydFLVH3TRQUabQu_ym0Zz7PgGX0-kHA/edit?usp=sharing"",""แผน!HW60"")"),4380)</f>
        <v>4380</v>
      </c>
      <c r="M690" s="45">
        <f ca="1">L690</f>
        <v>4380</v>
      </c>
      <c r="N690" s="45">
        <f>N691+N692+N693+N694</f>
        <v>4380</v>
      </c>
      <c r="O690" s="45">
        <f ca="1">IF(L690&gt;0,N690*100/L690,0)</f>
        <v>100</v>
      </c>
      <c r="P690" s="45">
        <f ca="1">IF(M690&gt;0,N690*100/M690,0)</f>
        <v>100</v>
      </c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</row>
    <row r="691" spans="1:26" ht="19">
      <c r="A691" s="537"/>
      <c r="B691" s="538"/>
      <c r="C691" s="539"/>
      <c r="D691" s="539"/>
      <c r="E691" s="539"/>
      <c r="F691" s="539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1">
        <v>0</v>
      </c>
      <c r="O691" s="38"/>
      <c r="P691" s="38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</row>
    <row r="692" spans="1:26" ht="19">
      <c r="A692" s="537"/>
      <c r="B692" s="538"/>
      <c r="C692" s="539"/>
      <c r="D692" s="539"/>
      <c r="E692" s="539"/>
      <c r="F692" s="539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1">
        <v>0</v>
      </c>
      <c r="O692" s="38"/>
      <c r="P692" s="38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</row>
    <row r="693" spans="1:26" ht="19">
      <c r="A693" s="537"/>
      <c r="B693" s="538"/>
      <c r="C693" s="539"/>
      <c r="D693" s="539"/>
      <c r="E693" s="539"/>
      <c r="F693" s="539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1">
        <v>0</v>
      </c>
      <c r="O693" s="38"/>
      <c r="P693" s="38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</row>
    <row r="694" spans="1:26" ht="19">
      <c r="A694" s="537"/>
      <c r="B694" s="538"/>
      <c r="C694" s="539"/>
      <c r="D694" s="539"/>
      <c r="E694" s="539"/>
      <c r="F694" s="539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1">
        <v>4380</v>
      </c>
      <c r="O694" s="38"/>
      <c r="P694" s="38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</row>
    <row r="695" spans="1:26" ht="19">
      <c r="A695" s="559"/>
      <c r="B695" s="538"/>
      <c r="C695" s="539"/>
      <c r="D695" s="567" t="s">
        <v>21</v>
      </c>
      <c r="E695" s="539"/>
      <c r="F695" s="539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</row>
    <row r="696" spans="1:26" ht="19" hidden="1">
      <c r="A696" s="561"/>
      <c r="B696" s="566"/>
      <c r="C696" s="562"/>
      <c r="D696" s="562"/>
      <c r="E696" s="562" t="s">
        <v>18</v>
      </c>
      <c r="F696" s="562"/>
      <c r="G696" s="56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</row>
    <row r="697" spans="1:26" ht="19" hidden="1">
      <c r="A697" s="561"/>
      <c r="B697" s="566"/>
      <c r="C697" s="562"/>
      <c r="D697" s="562"/>
      <c r="E697" s="562" t="s">
        <v>19</v>
      </c>
      <c r="F697" s="562"/>
      <c r="G697" s="56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</row>
    <row r="698" spans="1:26" ht="19">
      <c r="A698" s="568"/>
      <c r="B698" s="569"/>
      <c r="C698" s="539" t="s">
        <v>16</v>
      </c>
      <c r="D698" s="821" t="s">
        <v>38</v>
      </c>
      <c r="E698" s="572"/>
      <c r="F698" s="572"/>
      <c r="G698" s="573"/>
      <c r="H698" s="174"/>
      <c r="I698" s="161"/>
      <c r="J698" s="161"/>
      <c r="K698" s="162"/>
      <c r="L698" s="162"/>
      <c r="M698" s="162"/>
      <c r="N698" s="162"/>
      <c r="O698" s="162"/>
      <c r="P698" s="162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</row>
    <row r="699" spans="1:26" ht="19">
      <c r="A699" s="686"/>
      <c r="B699" s="539"/>
      <c r="C699" s="539"/>
      <c r="D699" s="539" t="s">
        <v>295</v>
      </c>
      <c r="E699" s="539"/>
      <c r="F699" s="539"/>
      <c r="G699" s="186"/>
      <c r="H699" s="180" t="s">
        <v>46</v>
      </c>
      <c r="I699" s="699">
        <f ca="1">IFERROR(__xludf.DUMMYFUNCTION("IMPORTRANGE(""https://docs.google.com/spreadsheets/d/1QqKyyYR6Q21VydFLVH3TRQUabQu_ym0Zz7PgGX0-kHA/edit?usp=sharing"",""แผน!IC60"")"),0)</f>
        <v>0</v>
      </c>
      <c r="J699" s="37">
        <f ca="1">IFERROR(__xludf.DUMMYFUNCTION("IMPORTRANGE(""https://docs.google.com/spreadsheets/d/1XWAQStnk-4SwqDmLtmXYiTMKHgktTP8We1SCoS47DrQ/edit?usp=sharing"",""จัดที่ดิน!BB60"")"),0)</f>
        <v>0</v>
      </c>
      <c r="K699" s="38">
        <f t="shared" ref="K699:K701" ca="1" si="289">IF(I699&gt;0,J699*100/I699,0)</f>
        <v>0</v>
      </c>
      <c r="L699" s="38"/>
      <c r="M699" s="186"/>
      <c r="N699" s="700"/>
      <c r="O699" s="38"/>
      <c r="P699" s="38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</row>
    <row r="700" spans="1:26" ht="19">
      <c r="A700" s="686"/>
      <c r="B700" s="539"/>
      <c r="C700" s="539"/>
      <c r="D700" s="539" t="s">
        <v>296</v>
      </c>
      <c r="E700" s="539"/>
      <c r="F700" s="539"/>
      <c r="G700" s="186"/>
      <c r="H700" s="180" t="s">
        <v>35</v>
      </c>
      <c r="I700" s="699">
        <f ca="1">IFERROR(__xludf.DUMMYFUNCTION("IMPORTRANGE(""https://docs.google.com/spreadsheets/d/1QqKyyYR6Q21VydFLVH3TRQUabQu_ym0Zz7PgGX0-kHA/edit?usp=sharing"",""แผน!ID60"")"),0)</f>
        <v>0</v>
      </c>
      <c r="J700" s="37">
        <f ca="1">IFERROR(__xludf.DUMMYFUNCTION("IMPORTRANGE(""https://docs.google.com/spreadsheets/d/1XWAQStnk-4SwqDmLtmXYiTMKHgktTP8We1SCoS47DrQ/edit?usp=sharing"",""จัดที่ดิน!BD60"")"),0)</f>
        <v>0</v>
      </c>
      <c r="K700" s="38">
        <f t="shared" ca="1" si="289"/>
        <v>0</v>
      </c>
      <c r="L700" s="38"/>
      <c r="M700" s="186"/>
      <c r="N700" s="700"/>
      <c r="O700" s="38"/>
      <c r="P700" s="38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</row>
    <row r="701" spans="1:26" ht="19">
      <c r="A701" s="686"/>
      <c r="B701" s="539"/>
      <c r="C701" s="539"/>
      <c r="D701" s="539" t="s">
        <v>297</v>
      </c>
      <c r="E701" s="539"/>
      <c r="F701" s="539"/>
      <c r="G701" s="186"/>
      <c r="H701" s="188" t="s">
        <v>46</v>
      </c>
      <c r="I701" s="701">
        <f ca="1">IFERROR(__xludf.DUMMYFUNCTION("IMPORTRANGE(""https://docs.google.com/spreadsheets/d/1QqKyyYR6Q21VydFLVH3TRQUabQu_ym0Zz7PgGX0-kHA/edit?usp=sharing"",""แผน!IE60"")"),0)</f>
        <v>0</v>
      </c>
      <c r="J701" s="190">
        <f>J704+J707</f>
        <v>0</v>
      </c>
      <c r="K701" s="191">
        <f t="shared" ca="1" si="289"/>
        <v>0</v>
      </c>
      <c r="L701" s="38"/>
      <c r="M701" s="186"/>
      <c r="N701" s="700"/>
      <c r="O701" s="38"/>
      <c r="P701" s="38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</row>
    <row r="702" spans="1:26" ht="19">
      <c r="A702" s="686"/>
      <c r="B702" s="539"/>
      <c r="C702" s="539"/>
      <c r="D702" s="539"/>
      <c r="E702" s="539" t="s">
        <v>298</v>
      </c>
      <c r="F702" s="539"/>
      <c r="G702" s="186"/>
      <c r="H702" s="180" t="s">
        <v>35</v>
      </c>
      <c r="I702" s="699"/>
      <c r="J702" s="181">
        <v>0</v>
      </c>
      <c r="K702" s="38"/>
      <c r="L702" s="38"/>
      <c r="M702" s="186"/>
      <c r="N702" s="700"/>
      <c r="O702" s="38"/>
      <c r="P702" s="38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</row>
    <row r="703" spans="1:26" ht="19">
      <c r="A703" s="686"/>
      <c r="B703" s="539"/>
      <c r="C703" s="539"/>
      <c r="D703" s="539"/>
      <c r="E703" s="539"/>
      <c r="F703" s="539"/>
      <c r="G703" s="186"/>
      <c r="H703" s="180" t="s">
        <v>34</v>
      </c>
      <c r="I703" s="699"/>
      <c r="J703" s="181">
        <v>0</v>
      </c>
      <c r="K703" s="38"/>
      <c r="L703" s="38"/>
      <c r="M703" s="186"/>
      <c r="N703" s="700"/>
      <c r="O703" s="38"/>
      <c r="P703" s="38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</row>
    <row r="704" spans="1:26" ht="19">
      <c r="A704" s="686"/>
      <c r="B704" s="539"/>
      <c r="C704" s="539"/>
      <c r="D704" s="539"/>
      <c r="E704" s="539"/>
      <c r="F704" s="539"/>
      <c r="G704" s="186"/>
      <c r="H704" s="180" t="s">
        <v>46</v>
      </c>
      <c r="I704" s="699">
        <f ca="1">IFERROR(__xludf.DUMMYFUNCTION("IMPORTRANGE(""https://docs.google.com/spreadsheets/d/1QqKyyYR6Q21VydFLVH3TRQUabQu_ym0Zz7PgGX0-kHA/edit?usp=sharing"",""แผน!IF60"")"),0)</f>
        <v>0</v>
      </c>
      <c r="J704" s="181">
        <v>0</v>
      </c>
      <c r="K704" s="38"/>
      <c r="L704" s="38"/>
      <c r="M704" s="186"/>
      <c r="N704" s="700"/>
      <c r="O704" s="38"/>
      <c r="P704" s="38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</row>
    <row r="705" spans="1:26" ht="19">
      <c r="A705" s="686"/>
      <c r="B705" s="539"/>
      <c r="C705" s="539"/>
      <c r="D705" s="539"/>
      <c r="E705" s="539" t="s">
        <v>299</v>
      </c>
      <c r="F705" s="539"/>
      <c r="G705" s="186"/>
      <c r="H705" s="180" t="s">
        <v>35</v>
      </c>
      <c r="I705" s="699"/>
      <c r="J705" s="181">
        <v>0</v>
      </c>
      <c r="K705" s="38"/>
      <c r="L705" s="38"/>
      <c r="M705" s="186"/>
      <c r="N705" s="700"/>
      <c r="O705" s="38"/>
      <c r="P705" s="38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</row>
    <row r="706" spans="1:26" ht="19">
      <c r="A706" s="686"/>
      <c r="B706" s="539"/>
      <c r="C706" s="539"/>
      <c r="D706" s="539"/>
      <c r="E706" s="539"/>
      <c r="F706" s="539"/>
      <c r="G706" s="186"/>
      <c r="H706" s="180" t="s">
        <v>34</v>
      </c>
      <c r="I706" s="699"/>
      <c r="J706" s="181">
        <v>0</v>
      </c>
      <c r="K706" s="38"/>
      <c r="L706" s="38"/>
      <c r="M706" s="186"/>
      <c r="N706" s="700"/>
      <c r="O706" s="38"/>
      <c r="P706" s="38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</row>
    <row r="707" spans="1:26" ht="19">
      <c r="A707" s="686"/>
      <c r="B707" s="539"/>
      <c r="C707" s="539"/>
      <c r="D707" s="539"/>
      <c r="E707" s="539"/>
      <c r="F707" s="539"/>
      <c r="G707" s="186"/>
      <c r="H707" s="180" t="s">
        <v>46</v>
      </c>
      <c r="I707" s="699">
        <f ca="1">IFERROR(__xludf.DUMMYFUNCTION("IMPORTRANGE(""https://docs.google.com/spreadsheets/d/1QqKyyYR6Q21VydFLVH3TRQUabQu_ym0Zz7PgGX0-kHA/edit?usp=sharing"",""แผน!IG60"")"),0)</f>
        <v>0</v>
      </c>
      <c r="J707" s="181">
        <v>0</v>
      </c>
      <c r="K707" s="38"/>
      <c r="L707" s="38"/>
      <c r="M707" s="186"/>
      <c r="N707" s="700"/>
      <c r="O707" s="38"/>
      <c r="P707" s="38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</row>
    <row r="708" spans="1:26" ht="19">
      <c r="A708" s="686"/>
      <c r="B708" s="539"/>
      <c r="C708" s="539"/>
      <c r="D708" s="632" t="s">
        <v>300</v>
      </c>
      <c r="E708" s="539"/>
      <c r="F708" s="539"/>
      <c r="G708" s="186"/>
      <c r="H708" s="188" t="s">
        <v>46</v>
      </c>
      <c r="I708" s="701">
        <f ca="1">IFERROR(__xludf.DUMMYFUNCTION("IMPORTRANGE(""https://docs.google.com/spreadsheets/d/1QqKyyYR6Q21VydFLVH3TRQUabQu_ym0Zz7PgGX0-kHA/edit?usp=sharing"",""แผน!IH60"")"),0)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0"/>
      <c r="O708" s="38"/>
      <c r="P708" s="38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</row>
    <row r="709" spans="1:26" ht="19">
      <c r="A709" s="686"/>
      <c r="B709" s="539"/>
      <c r="C709" s="539"/>
      <c r="D709" s="539"/>
      <c r="E709" s="539" t="s">
        <v>301</v>
      </c>
      <c r="F709" s="539"/>
      <c r="G709" s="186"/>
      <c r="H709" s="180" t="s">
        <v>34</v>
      </c>
      <c r="I709" s="699"/>
      <c r="J709" s="181">
        <v>0</v>
      </c>
      <c r="K709" s="38"/>
      <c r="L709" s="700"/>
      <c r="M709" s="186"/>
      <c r="N709" s="700"/>
      <c r="O709" s="38"/>
      <c r="P709" s="38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</row>
    <row r="710" spans="1:26" ht="19">
      <c r="A710" s="686"/>
      <c r="B710" s="539"/>
      <c r="C710" s="539"/>
      <c r="D710" s="539"/>
      <c r="E710" s="539"/>
      <c r="F710" s="539"/>
      <c r="G710" s="186"/>
      <c r="H710" s="180" t="s">
        <v>46</v>
      </c>
      <c r="I710" s="699"/>
      <c r="J710" s="181">
        <v>0</v>
      </c>
      <c r="K710" s="38"/>
      <c r="L710" s="700"/>
      <c r="M710" s="186"/>
      <c r="N710" s="700"/>
      <c r="O710" s="38"/>
      <c r="P710" s="38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</row>
    <row r="711" spans="1:26" ht="19">
      <c r="A711" s="686"/>
      <c r="B711" s="539"/>
      <c r="C711" s="539"/>
      <c r="D711" s="539"/>
      <c r="E711" s="539" t="s">
        <v>302</v>
      </c>
      <c r="F711" s="539"/>
      <c r="G711" s="186"/>
      <c r="H711" s="174"/>
      <c r="I711" s="699"/>
      <c r="J711" s="37"/>
      <c r="K711" s="38"/>
      <c r="L711" s="700"/>
      <c r="M711" s="186"/>
      <c r="N711" s="700"/>
      <c r="O711" s="38"/>
      <c r="P711" s="38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</row>
    <row r="712" spans="1:26" ht="19">
      <c r="A712" s="686"/>
      <c r="B712" s="539"/>
      <c r="C712" s="539"/>
      <c r="D712" s="539"/>
      <c r="E712" s="539"/>
      <c r="F712" s="539" t="s">
        <v>303</v>
      </c>
      <c r="G712" s="186"/>
      <c r="H712" s="180" t="s">
        <v>35</v>
      </c>
      <c r="I712" s="699"/>
      <c r="J712" s="181">
        <v>0</v>
      </c>
      <c r="K712" s="38"/>
      <c r="L712" s="700"/>
      <c r="M712" s="186"/>
      <c r="N712" s="700"/>
      <c r="O712" s="38"/>
      <c r="P712" s="38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</row>
    <row r="713" spans="1:26" ht="19">
      <c r="A713" s="686"/>
      <c r="B713" s="539"/>
      <c r="C713" s="539"/>
      <c r="D713" s="539"/>
      <c r="E713" s="539"/>
      <c r="F713" s="539"/>
      <c r="G713" s="186"/>
      <c r="H713" s="180" t="s">
        <v>34</v>
      </c>
      <c r="I713" s="699"/>
      <c r="J713" s="181">
        <v>0</v>
      </c>
      <c r="K713" s="38"/>
      <c r="L713" s="700"/>
      <c r="M713" s="186"/>
      <c r="N713" s="700"/>
      <c r="O713" s="38"/>
      <c r="P713" s="38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</row>
    <row r="714" spans="1:26" ht="19">
      <c r="A714" s="686"/>
      <c r="B714" s="539"/>
      <c r="C714" s="539"/>
      <c r="D714" s="539"/>
      <c r="E714" s="539"/>
      <c r="F714" s="539"/>
      <c r="G714" s="186"/>
      <c r="H714" s="180" t="s">
        <v>46</v>
      </c>
      <c r="I714" s="699"/>
      <c r="J714" s="181">
        <v>0</v>
      </c>
      <c r="K714" s="38"/>
      <c r="L714" s="700"/>
      <c r="M714" s="186"/>
      <c r="N714" s="700"/>
      <c r="O714" s="38"/>
      <c r="P714" s="38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</row>
    <row r="715" spans="1:26" ht="19">
      <c r="A715" s="686"/>
      <c r="B715" s="539"/>
      <c r="C715" s="539"/>
      <c r="D715" s="539"/>
      <c r="E715" s="539"/>
      <c r="F715" s="539" t="s">
        <v>304</v>
      </c>
      <c r="G715" s="186"/>
      <c r="H715" s="180" t="s">
        <v>35</v>
      </c>
      <c r="I715" s="699"/>
      <c r="J715" s="181">
        <v>0</v>
      </c>
      <c r="K715" s="38"/>
      <c r="L715" s="700"/>
      <c r="M715" s="186"/>
      <c r="N715" s="700"/>
      <c r="O715" s="38"/>
      <c r="P715" s="38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</row>
    <row r="716" spans="1:26" ht="19">
      <c r="A716" s="686"/>
      <c r="B716" s="539"/>
      <c r="C716" s="539"/>
      <c r="D716" s="539"/>
      <c r="E716" s="539"/>
      <c r="F716" s="539"/>
      <c r="G716" s="186"/>
      <c r="H716" s="180" t="s">
        <v>34</v>
      </c>
      <c r="I716" s="699"/>
      <c r="J716" s="181">
        <v>0</v>
      </c>
      <c r="K716" s="38"/>
      <c r="L716" s="700"/>
      <c r="M716" s="186"/>
      <c r="N716" s="700"/>
      <c r="O716" s="38"/>
      <c r="P716" s="38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</row>
    <row r="717" spans="1:26" ht="19">
      <c r="A717" s="686"/>
      <c r="B717" s="539"/>
      <c r="C717" s="539"/>
      <c r="D717" s="539"/>
      <c r="E717" s="539"/>
      <c r="F717" s="539"/>
      <c r="G717" s="186"/>
      <c r="H717" s="180" t="s">
        <v>46</v>
      </c>
      <c r="I717" s="699"/>
      <c r="J717" s="181"/>
      <c r="K717" s="38"/>
      <c r="L717" s="700"/>
      <c r="M717" s="186"/>
      <c r="N717" s="700"/>
      <c r="O717" s="38"/>
      <c r="P717" s="38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</row>
    <row r="718" spans="1:26" ht="19">
      <c r="A718" s="686"/>
      <c r="B718" s="539"/>
      <c r="C718" s="539"/>
      <c r="D718" s="539" t="s">
        <v>305</v>
      </c>
      <c r="E718" s="539"/>
      <c r="F718" s="539"/>
      <c r="G718" s="186"/>
      <c r="H718" s="180" t="s">
        <v>35</v>
      </c>
      <c r="I718" s="699"/>
      <c r="J718" s="37">
        <f ca="1">IFERROR(__xludf.DUMMYFUNCTION("IMPORTRANGE(""https://docs.google.com/spreadsheets/d/1XWAQStnk-4SwqDmLtmXYiTMKHgktTP8We1SCoS47DrQ/edit?usp=sharing"",""จัดที่ดิน!BF60"")"),0)</f>
        <v>0</v>
      </c>
      <c r="K718" s="38"/>
      <c r="L718" s="38"/>
      <c r="M718" s="186"/>
      <c r="N718" s="700"/>
      <c r="O718" s="38"/>
      <c r="P718" s="38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</row>
    <row r="719" spans="1:26" ht="19">
      <c r="A719" s="686"/>
      <c r="B719" s="539"/>
      <c r="C719" s="539"/>
      <c r="D719" s="539"/>
      <c r="E719" s="539"/>
      <c r="F719" s="539"/>
      <c r="G719" s="186"/>
      <c r="H719" s="180" t="s">
        <v>34</v>
      </c>
      <c r="I719" s="699"/>
      <c r="J719" s="37">
        <f ca="1">IFERROR(__xludf.DUMMYFUNCTION("IMPORTRANGE(""https://docs.google.com/spreadsheets/d/1XWAQStnk-4SwqDmLtmXYiTMKHgktTP8We1SCoS47DrQ/edit?usp=sharing"",""จัดที่ดิน!BG60"")"),0)</f>
        <v>0</v>
      </c>
      <c r="K719" s="38"/>
      <c r="L719" s="700"/>
      <c r="M719" s="186"/>
      <c r="N719" s="700"/>
      <c r="O719" s="38"/>
      <c r="P719" s="38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</row>
    <row r="720" spans="1:26" ht="19">
      <c r="A720" s="686"/>
      <c r="B720" s="539"/>
      <c r="C720" s="539"/>
      <c r="D720" s="539"/>
      <c r="E720" s="539"/>
      <c r="F720" s="539"/>
      <c r="G720" s="186"/>
      <c r="H720" s="180" t="s">
        <v>46</v>
      </c>
      <c r="I720" s="699">
        <f ca="1">IFERROR(__xludf.DUMMYFUNCTION("IMPORTRANGE(""https://docs.google.com/spreadsheets/d/1QqKyyYR6Q21VydFLVH3TRQUabQu_ym0Zz7PgGX0-kHA/edit?usp=sharing"",""แผน!II60"")"),34)</f>
        <v>34</v>
      </c>
      <c r="J720" s="37">
        <f ca="1">IFERROR(__xludf.DUMMYFUNCTION("IMPORTRANGE(""https://docs.google.com/spreadsheets/d/1XWAQStnk-4SwqDmLtmXYiTMKHgktTP8We1SCoS47DrQ/edit?usp=sharing"",""จัดที่ดิน!BH60"")"),0)</f>
        <v>0</v>
      </c>
      <c r="K720" s="38">
        <f t="shared" ref="K720:K723" ca="1" si="290">IF(I720&gt;0,J720*100/I720,0)</f>
        <v>0</v>
      </c>
      <c r="L720" s="700"/>
      <c r="M720" s="186"/>
      <c r="N720" s="700"/>
      <c r="O720" s="38"/>
      <c r="P720" s="38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</row>
    <row r="721" spans="1:26" ht="19">
      <c r="A721" s="686"/>
      <c r="B721" s="539"/>
      <c r="C721" s="539"/>
      <c r="D721" s="539" t="s">
        <v>306</v>
      </c>
      <c r="E721" s="539"/>
      <c r="F721" s="539"/>
      <c r="G721" s="186"/>
      <c r="H721" s="188" t="s">
        <v>35</v>
      </c>
      <c r="I721" s="701">
        <f ca="1">IFERROR(__xludf.DUMMYFUNCTION("IMPORTRANGE(""https://docs.google.com/spreadsheets/d/1QqKyyYR6Q21VydFLVH3TRQUabQu_ym0Zz7PgGX0-kHA/edit?usp=sharing"",""แผน!IJ60"")"),3)</f>
        <v>3</v>
      </c>
      <c r="J721" s="190">
        <f ca="1">J723+J726</f>
        <v>15</v>
      </c>
      <c r="K721" s="191">
        <f t="shared" ca="1" si="290"/>
        <v>500</v>
      </c>
      <c r="L721" s="700"/>
      <c r="M721" s="186"/>
      <c r="N721" s="700"/>
      <c r="O721" s="38"/>
      <c r="P721" s="38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</row>
    <row r="722" spans="1:26" ht="19">
      <c r="A722" s="686"/>
      <c r="B722" s="539"/>
      <c r="C722" s="539"/>
      <c r="D722" s="539"/>
      <c r="E722" s="539"/>
      <c r="F722" s="539"/>
      <c r="G722" s="186"/>
      <c r="H722" s="188" t="s">
        <v>46</v>
      </c>
      <c r="I722" s="701">
        <f ca="1">IFERROR(__xludf.DUMMYFUNCTION("IMPORTRANGE(""https://docs.google.com/spreadsheets/d/1QqKyyYR6Q21VydFLVH3TRQUabQu_ym0Zz7PgGX0-kHA/edit?usp=sharing"",""แผน!IK60"")"),40)</f>
        <v>40</v>
      </c>
      <c r="J722" s="190">
        <f ca="1">J725+J728</f>
        <v>85.87</v>
      </c>
      <c r="K722" s="191">
        <f t="shared" ca="1" si="290"/>
        <v>214.67500000000001</v>
      </c>
      <c r="L722" s="38"/>
      <c r="M722" s="186"/>
      <c r="N722" s="700"/>
      <c r="O722" s="38"/>
      <c r="P722" s="38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</row>
    <row r="723" spans="1:26" ht="19">
      <c r="A723" s="686"/>
      <c r="B723" s="539"/>
      <c r="C723" s="539"/>
      <c r="D723" s="539"/>
      <c r="E723" s="539" t="s">
        <v>307</v>
      </c>
      <c r="F723" s="539"/>
      <c r="G723" s="186"/>
      <c r="H723" s="180" t="s">
        <v>35</v>
      </c>
      <c r="I723" s="699">
        <f ca="1">IFERROR(__xludf.DUMMYFUNCTION("IMPORTRANGE(""https://docs.google.com/spreadsheets/d/1QqKyyYR6Q21VydFLVH3TRQUabQu_ym0Zz7PgGX0-kHA/edit?usp=sharing"",""แผน!IL60"")"),2)</f>
        <v>2</v>
      </c>
      <c r="J723" s="37">
        <f ca="1">IFERROR(__xludf.DUMMYFUNCTION("IMPORTRANGE(""https://docs.google.com/spreadsheets/d/1XWAQStnk-4SwqDmLtmXYiTMKHgktTP8We1SCoS47DrQ/edit?usp=sharing"",""จัดที่ดิน!BM60"")"),4)</f>
        <v>4</v>
      </c>
      <c r="K723" s="38">
        <f t="shared" ca="1" si="290"/>
        <v>200</v>
      </c>
      <c r="L723" s="38"/>
      <c r="M723" s="186"/>
      <c r="N723" s="700"/>
      <c r="O723" s="38"/>
      <c r="P723" s="38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</row>
    <row r="724" spans="1:26" ht="19">
      <c r="A724" s="686"/>
      <c r="B724" s="539"/>
      <c r="C724" s="539"/>
      <c r="D724" s="539"/>
      <c r="E724" s="539"/>
      <c r="F724" s="539"/>
      <c r="G724" s="186"/>
      <c r="H724" s="180" t="s">
        <v>34</v>
      </c>
      <c r="I724" s="699"/>
      <c r="J724" s="37">
        <f ca="1">IFERROR(__xludf.DUMMYFUNCTION("IMPORTRANGE(""https://docs.google.com/spreadsheets/d/1XWAQStnk-4SwqDmLtmXYiTMKHgktTP8We1SCoS47DrQ/edit?usp=sharing"",""จัดที่ดิน!BN60"")"),4)</f>
        <v>4</v>
      </c>
      <c r="K724" s="38"/>
      <c r="L724" s="700"/>
      <c r="M724" s="186"/>
      <c r="N724" s="700"/>
      <c r="O724" s="38"/>
      <c r="P724" s="38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</row>
    <row r="725" spans="1:26" ht="19">
      <c r="A725" s="686"/>
      <c r="B725" s="539"/>
      <c r="C725" s="539"/>
      <c r="D725" s="539"/>
      <c r="E725" s="539"/>
      <c r="F725" s="539"/>
      <c r="G725" s="186"/>
      <c r="H725" s="180" t="s">
        <v>46</v>
      </c>
      <c r="I725" s="699">
        <f ca="1">IFERROR(__xludf.DUMMYFUNCTION("IMPORTRANGE(""https://docs.google.com/spreadsheets/d/1QqKyyYR6Q21VydFLVH3TRQUabQu_ym0Zz7PgGX0-kHA/edit?usp=sharing"",""แผน!IM60"")"),20)</f>
        <v>20</v>
      </c>
      <c r="J725" s="37">
        <f ca="1">IFERROR(__xludf.DUMMYFUNCTION("IMPORTRANGE(""https://docs.google.com/spreadsheets/d/1XWAQStnk-4SwqDmLtmXYiTMKHgktTP8We1SCoS47DrQ/edit?usp=sharing"",""จัดที่ดิน!BO60"")"),48.86)</f>
        <v>48.86</v>
      </c>
      <c r="K725" s="38">
        <f t="shared" ref="K725:K726" ca="1" si="291">IF(I725&gt;0,J725*100/I725,0)</f>
        <v>244.3</v>
      </c>
      <c r="L725" s="700"/>
      <c r="M725" s="186"/>
      <c r="N725" s="700"/>
      <c r="O725" s="38"/>
      <c r="P725" s="38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</row>
    <row r="726" spans="1:26" ht="19">
      <c r="A726" s="686"/>
      <c r="B726" s="539"/>
      <c r="C726" s="539"/>
      <c r="D726" s="539"/>
      <c r="E726" s="539" t="s">
        <v>308</v>
      </c>
      <c r="F726" s="539"/>
      <c r="G726" s="186"/>
      <c r="H726" s="180" t="s">
        <v>35</v>
      </c>
      <c r="I726" s="699">
        <f ca="1">IFERROR(__xludf.DUMMYFUNCTION("IMPORTRANGE(""https://docs.google.com/spreadsheets/d/1QqKyyYR6Q21VydFLVH3TRQUabQu_ym0Zz7PgGX0-kHA/edit?usp=sharing"",""แผน!IN60"")"),1)</f>
        <v>1</v>
      </c>
      <c r="J726" s="37">
        <f ca="1">IFERROR(__xludf.DUMMYFUNCTION("IMPORTRANGE(""https://docs.google.com/spreadsheets/d/1XWAQStnk-4SwqDmLtmXYiTMKHgktTP8We1SCoS47DrQ/edit?usp=sharing"",""จัดที่ดิน!BR60"")"),11)</f>
        <v>11</v>
      </c>
      <c r="K726" s="38">
        <f t="shared" ca="1" si="291"/>
        <v>1100</v>
      </c>
      <c r="L726" s="38"/>
      <c r="M726" s="186"/>
      <c r="N726" s="700"/>
      <c r="O726" s="38"/>
      <c r="P726" s="38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</row>
    <row r="727" spans="1:26" ht="19">
      <c r="A727" s="686"/>
      <c r="B727" s="539"/>
      <c r="C727" s="539"/>
      <c r="D727" s="539"/>
      <c r="E727" s="539"/>
      <c r="F727" s="539"/>
      <c r="G727" s="186"/>
      <c r="H727" s="180" t="s">
        <v>34</v>
      </c>
      <c r="I727" s="699"/>
      <c r="J727" s="37">
        <f ca="1">IFERROR(__xludf.DUMMYFUNCTION("IMPORTRANGE(""https://docs.google.com/spreadsheets/d/1XWAQStnk-4SwqDmLtmXYiTMKHgktTP8We1SCoS47DrQ/edit?usp=sharing"",""จัดที่ดิน!BS60"")"),13)</f>
        <v>13</v>
      </c>
      <c r="K727" s="38"/>
      <c r="L727" s="700"/>
      <c r="M727" s="186"/>
      <c r="N727" s="700"/>
      <c r="O727" s="38"/>
      <c r="P727" s="38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</row>
    <row r="728" spans="1:26" ht="19">
      <c r="A728" s="686"/>
      <c r="B728" s="539"/>
      <c r="C728" s="539"/>
      <c r="D728" s="539"/>
      <c r="E728" s="539"/>
      <c r="F728" s="539"/>
      <c r="G728" s="186"/>
      <c r="H728" s="180" t="s">
        <v>46</v>
      </c>
      <c r="I728" s="699">
        <f ca="1">IFERROR(__xludf.DUMMYFUNCTION("IMPORTRANGE(""https://docs.google.com/spreadsheets/d/1QqKyyYR6Q21VydFLVH3TRQUabQu_ym0Zz7PgGX0-kHA/edit?usp=sharing"",""แผน!IO60"")"),20)</f>
        <v>20</v>
      </c>
      <c r="J728" s="37">
        <f ca="1">IFERROR(__xludf.DUMMYFUNCTION("IMPORTRANGE(""https://docs.google.com/spreadsheets/d/1XWAQStnk-4SwqDmLtmXYiTMKHgktTP8We1SCoS47DrQ/edit?usp=sharing"",""จัดที่ดิน!BT60"")"),37.01)</f>
        <v>37.01</v>
      </c>
      <c r="K728" s="38">
        <f t="shared" ref="K728:K729" ca="1" si="292">IF(I728&gt;0,J728*100/I728,0)</f>
        <v>185.05</v>
      </c>
      <c r="L728" s="700"/>
      <c r="M728" s="186"/>
      <c r="N728" s="700"/>
      <c r="O728" s="38"/>
      <c r="P728" s="38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</row>
    <row r="729" spans="1:26" ht="19">
      <c r="A729" s="686"/>
      <c r="B729" s="539"/>
      <c r="C729" s="539"/>
      <c r="D729" s="539" t="s">
        <v>309</v>
      </c>
      <c r="E729" s="539"/>
      <c r="F729" s="539"/>
      <c r="G729" s="186"/>
      <c r="H729" s="188" t="s">
        <v>46</v>
      </c>
      <c r="I729" s="701">
        <f ca="1">IFERROR(__xludf.DUMMYFUNCTION("IMPORTRANGE(""https://docs.google.com/spreadsheets/d/1QqKyyYR6Q21VydFLVH3TRQUabQu_ym0Zz7PgGX0-kHA/edit?usp=sharing"",""แผน!IP60"")"),0)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0"/>
      <c r="O729" s="38"/>
      <c r="P729" s="38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</row>
    <row r="730" spans="1:26" ht="19">
      <c r="A730" s="686"/>
      <c r="B730" s="539"/>
      <c r="C730" s="539"/>
      <c r="D730" s="539"/>
      <c r="E730" s="539" t="s">
        <v>310</v>
      </c>
      <c r="F730" s="539"/>
      <c r="G730" s="186"/>
      <c r="H730" s="180" t="s">
        <v>35</v>
      </c>
      <c r="I730" s="699"/>
      <c r="J730" s="181"/>
      <c r="K730" s="38"/>
      <c r="L730" s="700"/>
      <c r="M730" s="38"/>
      <c r="N730" s="700"/>
      <c r="O730" s="38"/>
      <c r="P730" s="38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</row>
    <row r="731" spans="1:26" ht="19">
      <c r="A731" s="686"/>
      <c r="B731" s="539"/>
      <c r="C731" s="539"/>
      <c r="D731" s="539"/>
      <c r="E731" s="539"/>
      <c r="F731" s="539"/>
      <c r="G731" s="186"/>
      <c r="H731" s="180" t="s">
        <v>34</v>
      </c>
      <c r="I731" s="699"/>
      <c r="J731" s="181">
        <v>0</v>
      </c>
      <c r="K731" s="38"/>
      <c r="L731" s="700"/>
      <c r="M731" s="38"/>
      <c r="N731" s="700"/>
      <c r="O731" s="38"/>
      <c r="P731" s="38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</row>
    <row r="732" spans="1:26" ht="19">
      <c r="A732" s="686"/>
      <c r="B732" s="539"/>
      <c r="C732" s="539"/>
      <c r="D732" s="539"/>
      <c r="E732" s="539"/>
      <c r="F732" s="539"/>
      <c r="G732" s="186"/>
      <c r="H732" s="180" t="s">
        <v>46</v>
      </c>
      <c r="I732" s="699"/>
      <c r="J732" s="181">
        <v>0</v>
      </c>
      <c r="K732" s="38"/>
      <c r="L732" s="700"/>
      <c r="M732" s="38"/>
      <c r="N732" s="700"/>
      <c r="O732" s="38"/>
      <c r="P732" s="38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</row>
    <row r="733" spans="1:26" ht="19">
      <c r="A733" s="686"/>
      <c r="B733" s="539"/>
      <c r="C733" s="539"/>
      <c r="D733" s="539"/>
      <c r="E733" s="539" t="s">
        <v>311</v>
      </c>
      <c r="F733" s="539"/>
      <c r="G733" s="186"/>
      <c r="H733" s="180" t="s">
        <v>35</v>
      </c>
      <c r="I733" s="699"/>
      <c r="J733" s="181">
        <v>0</v>
      </c>
      <c r="K733" s="38"/>
      <c r="L733" s="700"/>
      <c r="M733" s="38"/>
      <c r="N733" s="700"/>
      <c r="O733" s="38"/>
      <c r="P733" s="38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</row>
    <row r="734" spans="1:26" ht="19">
      <c r="A734" s="686"/>
      <c r="B734" s="539"/>
      <c r="C734" s="539"/>
      <c r="D734" s="539"/>
      <c r="E734" s="539"/>
      <c r="F734" s="539"/>
      <c r="G734" s="186"/>
      <c r="H734" s="180" t="s">
        <v>34</v>
      </c>
      <c r="I734" s="699"/>
      <c r="J734" s="181">
        <v>0</v>
      </c>
      <c r="K734" s="38"/>
      <c r="L734" s="700"/>
      <c r="M734" s="38"/>
      <c r="N734" s="700"/>
      <c r="O734" s="38"/>
      <c r="P734" s="38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</row>
    <row r="735" spans="1:26" ht="19">
      <c r="A735" s="702"/>
      <c r="B735" s="703" t="s">
        <v>312</v>
      </c>
      <c r="C735" s="398"/>
      <c r="D735" s="398"/>
      <c r="E735" s="398"/>
      <c r="F735" s="398"/>
      <c r="G735" s="677"/>
      <c r="H735" s="399" t="s">
        <v>46</v>
      </c>
      <c r="I735" s="704"/>
      <c r="J735" s="401">
        <v>0</v>
      </c>
      <c r="K735" s="472"/>
      <c r="L735" s="705"/>
      <c r="M735" s="472"/>
      <c r="N735" s="705"/>
      <c r="O735" s="472"/>
      <c r="P735" s="472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</row>
    <row r="736" spans="1:26" ht="19" hidden="1">
      <c r="A736" s="706">
        <v>9</v>
      </c>
      <c r="B736" s="707" t="s">
        <v>313</v>
      </c>
      <c r="C736" s="708"/>
      <c r="D736" s="708"/>
      <c r="E736" s="708"/>
      <c r="F736" s="708"/>
      <c r="G736" s="709"/>
      <c r="H736" s="710" t="s">
        <v>46</v>
      </c>
      <c r="I736" s="711"/>
      <c r="J736" s="711">
        <f>J751</f>
        <v>0</v>
      </c>
      <c r="K736" s="712">
        <f>IF(I736&gt;0,J736*100/I736,0)</f>
        <v>0</v>
      </c>
      <c r="L736" s="713"/>
      <c r="M736" s="713"/>
      <c r="N736" s="713"/>
      <c r="O736" s="713"/>
      <c r="P736" s="713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</row>
    <row r="737" spans="1:26" ht="19" hidden="1">
      <c r="A737" s="561"/>
      <c r="B737" s="562"/>
      <c r="C737" s="562" t="s">
        <v>16</v>
      </c>
      <c r="D737" s="795" t="s">
        <v>17</v>
      </c>
      <c r="E737" s="788"/>
      <c r="F737" s="788"/>
      <c r="G737" s="564"/>
      <c r="H737" s="597" t="s">
        <v>12</v>
      </c>
      <c r="I737" s="44"/>
      <c r="J737" s="44"/>
      <c r="K737" s="45"/>
      <c r="L737" s="598">
        <f t="shared" ref="L737:N737" si="293">L738+L739</f>
        <v>0</v>
      </c>
      <c r="M737" s="598">
        <f t="shared" si="293"/>
        <v>0</v>
      </c>
      <c r="N737" s="598">
        <f t="shared" si="293"/>
        <v>0</v>
      </c>
      <c r="O737" s="598">
        <f t="shared" ref="O737:O742" si="294">IF(L737&gt;0,N737*100/L737,0)</f>
        <v>0</v>
      </c>
      <c r="P737" s="598">
        <f t="shared" ref="P737:P742" si="295">IF(M737&gt;0,N737*100/M737,0)</f>
        <v>0</v>
      </c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</row>
    <row r="738" spans="1:26" ht="19" hidden="1">
      <c r="A738" s="561"/>
      <c r="B738" s="562"/>
      <c r="C738" s="562"/>
      <c r="D738" s="563"/>
      <c r="E738" s="562" t="s">
        <v>185</v>
      </c>
      <c r="F738" s="562"/>
      <c r="G738" s="564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</row>
    <row r="739" spans="1:26" ht="19" hidden="1">
      <c r="A739" s="561"/>
      <c r="B739" s="566"/>
      <c r="C739" s="562"/>
      <c r="D739" s="563"/>
      <c r="E739" s="562" t="s">
        <v>186</v>
      </c>
      <c r="F739" s="562"/>
      <c r="G739" s="564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</row>
    <row r="740" spans="1:26" ht="19" hidden="1">
      <c r="A740" s="561"/>
      <c r="B740" s="566"/>
      <c r="C740" s="562"/>
      <c r="D740" s="596" t="s">
        <v>20</v>
      </c>
      <c r="E740" s="562"/>
      <c r="F740" s="562"/>
      <c r="G740" s="564"/>
      <c r="H740" s="597" t="s">
        <v>12</v>
      </c>
      <c r="I740" s="165"/>
      <c r="J740" s="165"/>
      <c r="K740" s="166"/>
      <c r="L740" s="598">
        <f t="shared" ref="L740:N740" si="297">L741+L742</f>
        <v>0</v>
      </c>
      <c r="M740" s="598">
        <f t="shared" si="297"/>
        <v>0</v>
      </c>
      <c r="N740" s="598">
        <f t="shared" si="297"/>
        <v>0</v>
      </c>
      <c r="O740" s="598">
        <f t="shared" si="294"/>
        <v>0</v>
      </c>
      <c r="P740" s="598">
        <f t="shared" si="295"/>
        <v>0</v>
      </c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</row>
    <row r="741" spans="1:26" ht="19" hidden="1">
      <c r="A741" s="561"/>
      <c r="B741" s="566"/>
      <c r="C741" s="562"/>
      <c r="D741" s="563"/>
      <c r="E741" s="562" t="s">
        <v>185</v>
      </c>
      <c r="F741" s="562"/>
      <c r="G741" s="56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</row>
    <row r="742" spans="1:26" ht="19" hidden="1">
      <c r="A742" s="561"/>
      <c r="B742" s="566"/>
      <c r="C742" s="562"/>
      <c r="D742" s="563"/>
      <c r="E742" s="562" t="s">
        <v>186</v>
      </c>
      <c r="F742" s="562"/>
      <c r="G742" s="56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</row>
    <row r="743" spans="1:26" ht="19" hidden="1">
      <c r="A743" s="600"/>
      <c r="B743" s="566"/>
      <c r="C743" s="562"/>
      <c r="D743" s="562"/>
      <c r="E743" s="562"/>
      <c r="F743" s="562" t="s">
        <v>187</v>
      </c>
      <c r="G743" s="56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</row>
    <row r="744" spans="1:26" ht="19" hidden="1">
      <c r="A744" s="600"/>
      <c r="B744" s="566"/>
      <c r="C744" s="562"/>
      <c r="D744" s="562"/>
      <c r="E744" s="562"/>
      <c r="F744" s="562" t="s">
        <v>188</v>
      </c>
      <c r="G744" s="56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</row>
    <row r="745" spans="1:26" ht="19" hidden="1">
      <c r="A745" s="600"/>
      <c r="B745" s="566"/>
      <c r="C745" s="562"/>
      <c r="D745" s="562"/>
      <c r="E745" s="562"/>
      <c r="F745" s="562" t="s">
        <v>189</v>
      </c>
      <c r="G745" s="56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</row>
    <row r="746" spans="1:26" ht="19" hidden="1">
      <c r="A746" s="600"/>
      <c r="B746" s="566"/>
      <c r="C746" s="562"/>
      <c r="D746" s="562"/>
      <c r="E746" s="562"/>
      <c r="F746" s="562" t="s">
        <v>190</v>
      </c>
      <c r="G746" s="56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</row>
    <row r="747" spans="1:26" ht="19" hidden="1">
      <c r="A747" s="561"/>
      <c r="B747" s="566"/>
      <c r="C747" s="562"/>
      <c r="D747" s="596" t="s">
        <v>21</v>
      </c>
      <c r="E747" s="562"/>
      <c r="F747" s="562"/>
      <c r="G747" s="564"/>
      <c r="H747" s="715" t="s">
        <v>12</v>
      </c>
      <c r="I747" s="165"/>
      <c r="J747" s="165"/>
      <c r="K747" s="166"/>
      <c r="L747" s="598">
        <f t="shared" ref="L747:N747" si="298">L748+L749</f>
        <v>0</v>
      </c>
      <c r="M747" s="598">
        <f t="shared" si="298"/>
        <v>0</v>
      </c>
      <c r="N747" s="598">
        <f t="shared" si="298"/>
        <v>0</v>
      </c>
      <c r="O747" s="598">
        <f t="shared" ref="O747:O749" si="299">IF(L747&gt;0,N747*100/L747,0)</f>
        <v>0</v>
      </c>
      <c r="P747" s="598">
        <f t="shared" ref="P747:P749" si="300">IF(M747&gt;0,N747*100/M747,0)</f>
        <v>0</v>
      </c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</row>
    <row r="748" spans="1:26" ht="19" hidden="1">
      <c r="A748" s="561"/>
      <c r="B748" s="566"/>
      <c r="C748" s="562"/>
      <c r="D748" s="562"/>
      <c r="E748" s="562" t="s">
        <v>18</v>
      </c>
      <c r="F748" s="562"/>
      <c r="G748" s="56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</row>
    <row r="749" spans="1:26" ht="19" hidden="1">
      <c r="A749" s="561"/>
      <c r="B749" s="566"/>
      <c r="C749" s="562"/>
      <c r="D749" s="562"/>
      <c r="E749" s="562" t="s">
        <v>19</v>
      </c>
      <c r="F749" s="562"/>
      <c r="G749" s="56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</row>
    <row r="750" spans="1:26" ht="19" hidden="1">
      <c r="A750" s="574"/>
      <c r="B750" s="575"/>
      <c r="C750" s="562" t="s">
        <v>16</v>
      </c>
      <c r="D750" s="822" t="s">
        <v>38</v>
      </c>
      <c r="E750" s="602"/>
      <c r="F750" s="602"/>
      <c r="G750" s="603"/>
      <c r="H750" s="351"/>
      <c r="I750" s="165"/>
      <c r="J750" s="165"/>
      <c r="K750" s="166"/>
      <c r="L750" s="166"/>
      <c r="M750" s="166"/>
      <c r="N750" s="166"/>
      <c r="O750" s="166"/>
      <c r="P750" s="166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</row>
    <row r="751" spans="1:26" ht="19" hidden="1">
      <c r="A751" s="600"/>
      <c r="B751" s="566"/>
      <c r="C751" s="562"/>
      <c r="D751" s="562"/>
      <c r="E751" s="562" t="s">
        <v>314</v>
      </c>
      <c r="F751" s="562"/>
      <c r="G751" s="56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</row>
    <row r="752" spans="1:26" ht="19" hidden="1">
      <c r="A752" s="600"/>
      <c r="B752" s="566"/>
      <c r="C752" s="562"/>
      <c r="D752" s="562"/>
      <c r="E752" s="562"/>
      <c r="F752" s="562"/>
      <c r="G752" s="56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</row>
    <row r="753" spans="1:26" ht="19" hidden="1">
      <c r="A753" s="717">
        <v>10</v>
      </c>
      <c r="B753" s="718" t="s">
        <v>316</v>
      </c>
      <c r="C753" s="719"/>
      <c r="D753" s="719"/>
      <c r="E753" s="719"/>
      <c r="F753" s="719"/>
      <c r="G753" s="720"/>
      <c r="H753" s="721" t="s">
        <v>46</v>
      </c>
      <c r="I753" s="722"/>
      <c r="J753" s="722">
        <f>J768</f>
        <v>0</v>
      </c>
      <c r="K753" s="723">
        <f>IF(I753&gt;0,J753*100/I753,0)</f>
        <v>0</v>
      </c>
      <c r="L753" s="724"/>
      <c r="M753" s="724"/>
      <c r="N753" s="724"/>
      <c r="O753" s="724"/>
      <c r="P753" s="724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</row>
    <row r="754" spans="1:26" ht="19" hidden="1">
      <c r="A754" s="561"/>
      <c r="B754" s="562"/>
      <c r="C754" s="562" t="s">
        <v>16</v>
      </c>
      <c r="D754" s="795" t="s">
        <v>17</v>
      </c>
      <c r="E754" s="788"/>
      <c r="F754" s="788"/>
      <c r="G754" s="564"/>
      <c r="H754" s="597" t="s">
        <v>12</v>
      </c>
      <c r="I754" s="44"/>
      <c r="J754" s="44"/>
      <c r="K754" s="45"/>
      <c r="L754" s="598">
        <f t="shared" ref="L754:N754" si="301">L755+L756</f>
        <v>0</v>
      </c>
      <c r="M754" s="598">
        <f t="shared" si="301"/>
        <v>0</v>
      </c>
      <c r="N754" s="598">
        <f t="shared" si="301"/>
        <v>0</v>
      </c>
      <c r="O754" s="598">
        <f t="shared" ref="O754:O759" si="302">IF(L754&gt;0,N754*100/L754,0)</f>
        <v>0</v>
      </c>
      <c r="P754" s="598">
        <f t="shared" ref="P754:P759" si="303">IF(M754&gt;0,N754*100/M754,0)</f>
        <v>0</v>
      </c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</row>
    <row r="755" spans="1:26" ht="19" hidden="1">
      <c r="A755" s="561"/>
      <c r="B755" s="562"/>
      <c r="C755" s="562"/>
      <c r="D755" s="563"/>
      <c r="E755" s="562" t="s">
        <v>185</v>
      </c>
      <c r="F755" s="562"/>
      <c r="G755" s="564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</row>
    <row r="756" spans="1:26" ht="19" hidden="1">
      <c r="A756" s="561"/>
      <c r="B756" s="566"/>
      <c r="C756" s="562"/>
      <c r="D756" s="563"/>
      <c r="E756" s="562" t="s">
        <v>186</v>
      </c>
      <c r="F756" s="562"/>
      <c r="G756" s="564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</row>
    <row r="757" spans="1:26" ht="19" hidden="1">
      <c r="A757" s="561"/>
      <c r="B757" s="566"/>
      <c r="C757" s="562"/>
      <c r="D757" s="596" t="s">
        <v>20</v>
      </c>
      <c r="E757" s="562"/>
      <c r="F757" s="562"/>
      <c r="G757" s="564"/>
      <c r="H757" s="597" t="s">
        <v>12</v>
      </c>
      <c r="I757" s="165"/>
      <c r="J757" s="165"/>
      <c r="K757" s="166"/>
      <c r="L757" s="598">
        <f t="shared" ref="L757:N757" si="305">L758+L759</f>
        <v>0</v>
      </c>
      <c r="M757" s="598">
        <f t="shared" si="305"/>
        <v>0</v>
      </c>
      <c r="N757" s="598">
        <f t="shared" si="305"/>
        <v>0</v>
      </c>
      <c r="O757" s="598">
        <f t="shared" si="302"/>
        <v>0</v>
      </c>
      <c r="P757" s="598">
        <f t="shared" si="303"/>
        <v>0</v>
      </c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</row>
    <row r="758" spans="1:26" ht="19" hidden="1">
      <c r="A758" s="561"/>
      <c r="B758" s="566"/>
      <c r="C758" s="562"/>
      <c r="D758" s="563"/>
      <c r="E758" s="562" t="s">
        <v>185</v>
      </c>
      <c r="F758" s="562"/>
      <c r="G758" s="56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</row>
    <row r="759" spans="1:26" ht="19" hidden="1">
      <c r="A759" s="561"/>
      <c r="B759" s="566"/>
      <c r="C759" s="562"/>
      <c r="D759" s="563"/>
      <c r="E759" s="562" t="s">
        <v>186</v>
      </c>
      <c r="F759" s="562"/>
      <c r="G759" s="56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</row>
    <row r="760" spans="1:26" ht="19" hidden="1">
      <c r="A760" s="600"/>
      <c r="B760" s="566"/>
      <c r="C760" s="562"/>
      <c r="D760" s="562"/>
      <c r="E760" s="562"/>
      <c r="F760" s="562" t="s">
        <v>187</v>
      </c>
      <c r="G760" s="56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</row>
    <row r="761" spans="1:26" ht="19" hidden="1">
      <c r="A761" s="600"/>
      <c r="B761" s="566"/>
      <c r="C761" s="562"/>
      <c r="D761" s="562"/>
      <c r="E761" s="562"/>
      <c r="F761" s="562" t="s">
        <v>188</v>
      </c>
      <c r="G761" s="56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</row>
    <row r="762" spans="1:26" ht="19" hidden="1">
      <c r="A762" s="600"/>
      <c r="B762" s="566"/>
      <c r="C762" s="562"/>
      <c r="D762" s="562"/>
      <c r="E762" s="562"/>
      <c r="F762" s="562" t="s">
        <v>189</v>
      </c>
      <c r="G762" s="56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</row>
    <row r="763" spans="1:26" ht="19" hidden="1">
      <c r="A763" s="600"/>
      <c r="B763" s="566"/>
      <c r="C763" s="562"/>
      <c r="D763" s="562"/>
      <c r="E763" s="562"/>
      <c r="F763" s="562" t="s">
        <v>190</v>
      </c>
      <c r="G763" s="56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</row>
    <row r="764" spans="1:26" ht="19" hidden="1">
      <c r="A764" s="561"/>
      <c r="B764" s="566"/>
      <c r="C764" s="562"/>
      <c r="D764" s="596" t="s">
        <v>21</v>
      </c>
      <c r="E764" s="562"/>
      <c r="F764" s="562"/>
      <c r="G764" s="564"/>
      <c r="H764" s="715" t="s">
        <v>12</v>
      </c>
      <c r="I764" s="165"/>
      <c r="J764" s="165"/>
      <c r="K764" s="166"/>
      <c r="L764" s="598">
        <f t="shared" ref="L764:N764" si="306">L765+L766</f>
        <v>0</v>
      </c>
      <c r="M764" s="598">
        <f t="shared" si="306"/>
        <v>0</v>
      </c>
      <c r="N764" s="598">
        <f t="shared" si="306"/>
        <v>0</v>
      </c>
      <c r="O764" s="598">
        <f t="shared" ref="O764:O766" si="307">IF(L764&gt;0,N764*100/L764,0)</f>
        <v>0</v>
      </c>
      <c r="P764" s="598">
        <f t="shared" ref="P764:P766" si="308">IF(M764&gt;0,N764*100/M764,0)</f>
        <v>0</v>
      </c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</row>
    <row r="765" spans="1:26" ht="19" hidden="1">
      <c r="A765" s="561"/>
      <c r="B765" s="566"/>
      <c r="C765" s="562"/>
      <c r="D765" s="562"/>
      <c r="E765" s="562" t="s">
        <v>18</v>
      </c>
      <c r="F765" s="562"/>
      <c r="G765" s="56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</row>
    <row r="766" spans="1:26" ht="19" hidden="1">
      <c r="A766" s="561"/>
      <c r="B766" s="566"/>
      <c r="C766" s="562"/>
      <c r="D766" s="562"/>
      <c r="E766" s="562" t="s">
        <v>19</v>
      </c>
      <c r="F766" s="562"/>
      <c r="G766" s="56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</row>
    <row r="767" spans="1:26" ht="19" hidden="1">
      <c r="A767" s="574"/>
      <c r="B767" s="575"/>
      <c r="C767" s="562" t="s">
        <v>16</v>
      </c>
      <c r="D767" s="822" t="s">
        <v>38</v>
      </c>
      <c r="E767" s="602"/>
      <c r="F767" s="602"/>
      <c r="G767" s="603"/>
      <c r="H767" s="351"/>
      <c r="I767" s="165"/>
      <c r="J767" s="165"/>
      <c r="K767" s="166"/>
      <c r="L767" s="166"/>
      <c r="M767" s="166"/>
      <c r="N767" s="166"/>
      <c r="O767" s="166"/>
      <c r="P767" s="166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</row>
    <row r="768" spans="1:26" ht="19" hidden="1">
      <c r="A768" s="600"/>
      <c r="B768" s="566"/>
      <c r="C768" s="562"/>
      <c r="D768" s="562"/>
      <c r="E768" s="562" t="s">
        <v>317</v>
      </c>
      <c r="F768" s="562"/>
      <c r="G768" s="56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</row>
    <row r="769" spans="1:26" ht="19" hidden="1">
      <c r="A769" s="725">
        <v>11</v>
      </c>
      <c r="B769" s="726" t="s">
        <v>318</v>
      </c>
      <c r="C769" s="727"/>
      <c r="D769" s="727"/>
      <c r="E769" s="727"/>
      <c r="F769" s="727"/>
      <c r="G769" s="728"/>
      <c r="H769" s="729" t="s">
        <v>46</v>
      </c>
      <c r="I769" s="730"/>
      <c r="J769" s="730">
        <f>J784</f>
        <v>0</v>
      </c>
      <c r="K769" s="731">
        <f>IF(I769&gt;0,J769*100/I769,0)</f>
        <v>0</v>
      </c>
      <c r="L769" s="732"/>
      <c r="M769" s="732"/>
      <c r="N769" s="732"/>
      <c r="O769" s="732"/>
      <c r="P769" s="732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</row>
    <row r="770" spans="1:26" ht="19" hidden="1">
      <c r="A770" s="561"/>
      <c r="B770" s="562"/>
      <c r="C770" s="562" t="s">
        <v>16</v>
      </c>
      <c r="D770" s="795" t="s">
        <v>17</v>
      </c>
      <c r="E770" s="788"/>
      <c r="F770" s="788"/>
      <c r="G770" s="564"/>
      <c r="H770" s="597" t="s">
        <v>12</v>
      </c>
      <c r="I770" s="44"/>
      <c r="J770" s="44"/>
      <c r="K770" s="45"/>
      <c r="L770" s="598">
        <f t="shared" ref="L770:N770" si="309">L771+L772</f>
        <v>0</v>
      </c>
      <c r="M770" s="598">
        <f t="shared" si="309"/>
        <v>0</v>
      </c>
      <c r="N770" s="598">
        <f t="shared" si="309"/>
        <v>0</v>
      </c>
      <c r="O770" s="598">
        <f t="shared" ref="O770:O775" si="310">IF(L770&gt;0,N770*100/L770,0)</f>
        <v>0</v>
      </c>
      <c r="P770" s="598">
        <f t="shared" ref="P770:P775" si="311">IF(M770&gt;0,N770*100/M770,0)</f>
        <v>0</v>
      </c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</row>
    <row r="771" spans="1:26" ht="19" hidden="1">
      <c r="A771" s="561"/>
      <c r="B771" s="562"/>
      <c r="C771" s="562"/>
      <c r="D771" s="563"/>
      <c r="E771" s="562" t="s">
        <v>185</v>
      </c>
      <c r="F771" s="562"/>
      <c r="G771" s="564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</row>
    <row r="772" spans="1:26" ht="19" hidden="1">
      <c r="A772" s="561"/>
      <c r="B772" s="566"/>
      <c r="C772" s="562"/>
      <c r="D772" s="563"/>
      <c r="E772" s="562" t="s">
        <v>186</v>
      </c>
      <c r="F772" s="562"/>
      <c r="G772" s="564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</row>
    <row r="773" spans="1:26" ht="19" hidden="1">
      <c r="A773" s="561"/>
      <c r="B773" s="566"/>
      <c r="C773" s="562"/>
      <c r="D773" s="596" t="s">
        <v>20</v>
      </c>
      <c r="E773" s="562"/>
      <c r="F773" s="562"/>
      <c r="G773" s="564"/>
      <c r="H773" s="597" t="s">
        <v>12</v>
      </c>
      <c r="I773" s="165"/>
      <c r="J773" s="165"/>
      <c r="K773" s="166"/>
      <c r="L773" s="598">
        <f t="shared" ref="L773:N773" si="313">L774+L775</f>
        <v>0</v>
      </c>
      <c r="M773" s="598">
        <f t="shared" si="313"/>
        <v>0</v>
      </c>
      <c r="N773" s="598">
        <f t="shared" si="313"/>
        <v>0</v>
      </c>
      <c r="O773" s="598">
        <f t="shared" si="310"/>
        <v>0</v>
      </c>
      <c r="P773" s="598">
        <f t="shared" si="311"/>
        <v>0</v>
      </c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</row>
    <row r="774" spans="1:26" ht="19" hidden="1">
      <c r="A774" s="561"/>
      <c r="B774" s="566"/>
      <c r="C774" s="562"/>
      <c r="D774" s="563"/>
      <c r="E774" s="562" t="s">
        <v>185</v>
      </c>
      <c r="F774" s="562"/>
      <c r="G774" s="56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</row>
    <row r="775" spans="1:26" ht="19" hidden="1">
      <c r="A775" s="561"/>
      <c r="B775" s="566"/>
      <c r="C775" s="562"/>
      <c r="D775" s="563"/>
      <c r="E775" s="562" t="s">
        <v>186</v>
      </c>
      <c r="F775" s="562"/>
      <c r="G775" s="56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</row>
    <row r="776" spans="1:26" ht="19" hidden="1">
      <c r="A776" s="600"/>
      <c r="B776" s="566"/>
      <c r="C776" s="562"/>
      <c r="D776" s="562"/>
      <c r="E776" s="562"/>
      <c r="F776" s="562" t="s">
        <v>187</v>
      </c>
      <c r="G776" s="56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</row>
    <row r="777" spans="1:26" ht="19" hidden="1">
      <c r="A777" s="600"/>
      <c r="B777" s="566"/>
      <c r="C777" s="562"/>
      <c r="D777" s="562"/>
      <c r="E777" s="562"/>
      <c r="F777" s="562" t="s">
        <v>188</v>
      </c>
      <c r="G777" s="56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</row>
    <row r="778" spans="1:26" ht="19" hidden="1">
      <c r="A778" s="600"/>
      <c r="B778" s="566"/>
      <c r="C778" s="562"/>
      <c r="D778" s="562"/>
      <c r="E778" s="562"/>
      <c r="F778" s="562" t="s">
        <v>189</v>
      </c>
      <c r="G778" s="56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</row>
    <row r="779" spans="1:26" ht="19" hidden="1">
      <c r="A779" s="600"/>
      <c r="B779" s="566"/>
      <c r="C779" s="562"/>
      <c r="D779" s="562"/>
      <c r="E779" s="562"/>
      <c r="F779" s="562" t="s">
        <v>190</v>
      </c>
      <c r="G779" s="56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</row>
    <row r="780" spans="1:26" ht="19" hidden="1">
      <c r="A780" s="561"/>
      <c r="B780" s="566"/>
      <c r="C780" s="562"/>
      <c r="D780" s="596" t="s">
        <v>21</v>
      </c>
      <c r="E780" s="562"/>
      <c r="F780" s="562"/>
      <c r="G780" s="564"/>
      <c r="H780" s="715" t="s">
        <v>12</v>
      </c>
      <c r="I780" s="165"/>
      <c r="J780" s="165"/>
      <c r="K780" s="166"/>
      <c r="L780" s="598">
        <f t="shared" ref="L780:N780" si="314">L781+L782</f>
        <v>0</v>
      </c>
      <c r="M780" s="598">
        <f t="shared" si="314"/>
        <v>0</v>
      </c>
      <c r="N780" s="598">
        <f t="shared" si="314"/>
        <v>0</v>
      </c>
      <c r="O780" s="598">
        <f t="shared" ref="O780:O782" si="315">IF(L780&gt;0,N780*100/L780,0)</f>
        <v>0</v>
      </c>
      <c r="P780" s="598">
        <f t="shared" ref="P780:P782" si="316">IF(M780&gt;0,N780*100/M780,0)</f>
        <v>0</v>
      </c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</row>
    <row r="781" spans="1:26" ht="19" hidden="1">
      <c r="A781" s="561"/>
      <c r="B781" s="566"/>
      <c r="C781" s="562"/>
      <c r="D781" s="562"/>
      <c r="E781" s="562" t="s">
        <v>18</v>
      </c>
      <c r="F781" s="562"/>
      <c r="G781" s="56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</row>
    <row r="782" spans="1:26" ht="19" hidden="1">
      <c r="A782" s="561"/>
      <c r="B782" s="566"/>
      <c r="C782" s="562"/>
      <c r="D782" s="562"/>
      <c r="E782" s="562" t="s">
        <v>19</v>
      </c>
      <c r="F782" s="562"/>
      <c r="G782" s="56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</row>
    <row r="783" spans="1:26" ht="19" hidden="1">
      <c r="A783" s="574"/>
      <c r="B783" s="575"/>
      <c r="C783" s="562" t="s">
        <v>16</v>
      </c>
      <c r="D783" s="822" t="s">
        <v>38</v>
      </c>
      <c r="E783" s="602"/>
      <c r="F783" s="602"/>
      <c r="G783" s="603"/>
      <c r="H783" s="733"/>
      <c r="I783" s="165"/>
      <c r="J783" s="165"/>
      <c r="K783" s="166"/>
      <c r="L783" s="166"/>
      <c r="M783" s="166"/>
      <c r="N783" s="166"/>
      <c r="O783" s="166"/>
      <c r="P783" s="166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</row>
    <row r="784" spans="1:26" ht="19" hidden="1">
      <c r="A784" s="600"/>
      <c r="B784" s="566"/>
      <c r="C784" s="562"/>
      <c r="D784" s="562"/>
      <c r="E784" s="562" t="s">
        <v>319</v>
      </c>
      <c r="F784" s="562"/>
      <c r="G784" s="56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</row>
    <row r="785" spans="1:26" ht="19" hidden="1">
      <c r="A785" s="734">
        <v>12</v>
      </c>
      <c r="B785" s="735" t="s">
        <v>320</v>
      </c>
      <c r="C785" s="736"/>
      <c r="D785" s="736"/>
      <c r="E785" s="736"/>
      <c r="F785" s="736"/>
      <c r="G785" s="737"/>
      <c r="H785" s="823" t="s">
        <v>46</v>
      </c>
      <c r="I785" s="824">
        <f t="shared" ref="I785:J785" ca="1" si="317">I800</f>
        <v>0</v>
      </c>
      <c r="J785" s="825">
        <f t="shared" ca="1" si="317"/>
        <v>0</v>
      </c>
      <c r="K785" s="826">
        <f ca="1">IF(I785&gt;0,J785*100/I785,0)</f>
        <v>0</v>
      </c>
      <c r="L785" s="741"/>
      <c r="M785" s="741"/>
      <c r="N785" s="741"/>
      <c r="O785" s="741"/>
      <c r="P785" s="741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</row>
    <row r="786" spans="1:26" ht="19" hidden="1">
      <c r="A786" s="559"/>
      <c r="B786" s="538"/>
      <c r="C786" s="539" t="s">
        <v>16</v>
      </c>
      <c r="D786" s="794" t="s">
        <v>17</v>
      </c>
      <c r="E786" s="788"/>
      <c r="F786" s="788"/>
      <c r="G786" s="186"/>
      <c r="H786" s="56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</row>
    <row r="787" spans="1:26" ht="19" hidden="1">
      <c r="A787" s="561"/>
      <c r="B787" s="566"/>
      <c r="C787" s="562"/>
      <c r="D787" s="563"/>
      <c r="E787" s="562" t="s">
        <v>185</v>
      </c>
      <c r="F787" s="562"/>
      <c r="G787" s="56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</row>
    <row r="788" spans="1:26" ht="19" hidden="1">
      <c r="A788" s="561"/>
      <c r="B788" s="566"/>
      <c r="C788" s="566"/>
      <c r="D788" s="575"/>
      <c r="E788" s="562" t="s">
        <v>186</v>
      </c>
      <c r="F788" s="562"/>
      <c r="G788" s="56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</row>
    <row r="789" spans="1:26" ht="19" hidden="1">
      <c r="A789" s="559"/>
      <c r="B789" s="538"/>
      <c r="C789" s="538"/>
      <c r="D789" s="567" t="s">
        <v>20</v>
      </c>
      <c r="E789" s="539"/>
      <c r="F789" s="539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</row>
    <row r="790" spans="1:26" ht="19" hidden="1">
      <c r="A790" s="561"/>
      <c r="B790" s="566"/>
      <c r="C790" s="566"/>
      <c r="D790" s="575"/>
      <c r="E790" s="562" t="s">
        <v>185</v>
      </c>
      <c r="F790" s="562"/>
      <c r="G790" s="56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</row>
    <row r="791" spans="1:26" ht="19" hidden="1">
      <c r="A791" s="561"/>
      <c r="B791" s="566"/>
      <c r="C791" s="566"/>
      <c r="D791" s="575"/>
      <c r="E791" s="562" t="s">
        <v>186</v>
      </c>
      <c r="F791" s="562"/>
      <c r="G791" s="56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IFERROR(__xludf.DUMMYFUNCTION("IMPORTRANGE(""https://docs.google.com/spreadsheets/d/1QqKyyYR6Q21VydFLVH3TRQUabQu_ym0Zz7PgGX0-kHA/edit?usp=sharing"",""แผน!JJ60"")"),0)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</row>
    <row r="792" spans="1:26" ht="19" hidden="1">
      <c r="A792" s="537"/>
      <c r="B792" s="538"/>
      <c r="C792" s="539"/>
      <c r="D792" s="539"/>
      <c r="E792" s="539"/>
      <c r="F792" s="539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1">
        <v>0</v>
      </c>
      <c r="O792" s="38"/>
      <c r="P792" s="38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</row>
    <row r="793" spans="1:26" ht="19" hidden="1">
      <c r="A793" s="537"/>
      <c r="B793" s="538"/>
      <c r="C793" s="539"/>
      <c r="D793" s="539"/>
      <c r="E793" s="539"/>
      <c r="F793" s="539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1">
        <v>0</v>
      </c>
      <c r="O793" s="38"/>
      <c r="P793" s="38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</row>
    <row r="794" spans="1:26" ht="19" hidden="1">
      <c r="A794" s="537"/>
      <c r="B794" s="538"/>
      <c r="C794" s="539"/>
      <c r="D794" s="539"/>
      <c r="E794" s="539"/>
      <c r="F794" s="539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1">
        <v>0</v>
      </c>
      <c r="O794" s="38"/>
      <c r="P794" s="38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</row>
    <row r="795" spans="1:26" ht="19" hidden="1">
      <c r="A795" s="537"/>
      <c r="B795" s="538"/>
      <c r="C795" s="539"/>
      <c r="D795" s="539"/>
      <c r="E795" s="539"/>
      <c r="F795" s="539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1">
        <v>0</v>
      </c>
      <c r="O795" s="38"/>
      <c r="P795" s="38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</row>
    <row r="796" spans="1:26" ht="19" hidden="1">
      <c r="A796" s="559"/>
      <c r="B796" s="538"/>
      <c r="C796" s="539"/>
      <c r="D796" s="567" t="s">
        <v>21</v>
      </c>
      <c r="E796" s="539"/>
      <c r="F796" s="539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</row>
    <row r="797" spans="1:26" ht="19" hidden="1">
      <c r="A797" s="561"/>
      <c r="B797" s="566"/>
      <c r="C797" s="562"/>
      <c r="D797" s="562"/>
      <c r="E797" s="562" t="s">
        <v>18</v>
      </c>
      <c r="F797" s="562"/>
      <c r="G797" s="56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</row>
    <row r="798" spans="1:26" ht="19" hidden="1">
      <c r="A798" s="561"/>
      <c r="B798" s="566"/>
      <c r="C798" s="562"/>
      <c r="D798" s="562"/>
      <c r="E798" s="562" t="s">
        <v>19</v>
      </c>
      <c r="F798" s="562"/>
      <c r="G798" s="56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</row>
    <row r="799" spans="1:26" ht="19" hidden="1">
      <c r="A799" s="568"/>
      <c r="B799" s="569"/>
      <c r="C799" s="539" t="s">
        <v>16</v>
      </c>
      <c r="D799" s="821" t="s">
        <v>38</v>
      </c>
      <c r="E799" s="572"/>
      <c r="F799" s="572"/>
      <c r="G799" s="573"/>
      <c r="H799" s="827"/>
      <c r="I799" s="161"/>
      <c r="J799" s="161"/>
      <c r="K799" s="162"/>
      <c r="L799" s="162"/>
      <c r="M799" s="162"/>
      <c r="N799" s="162"/>
      <c r="O799" s="162"/>
      <c r="P799" s="162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</row>
    <row r="800" spans="1:26" ht="19" hidden="1">
      <c r="A800" s="568"/>
      <c r="B800" s="569"/>
      <c r="C800" s="569"/>
      <c r="D800" s="56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IFERROR(__xludf.DUMMYFUNCTION("IMPORTRANGE(""https://docs.google.com/spreadsheets/d/1QqKyyYR6Q21VydFLVH3TRQUabQu_ym0Zz7PgGX0-kHA/edit?usp=sharing"",""แผน!JN60"")"),0)</f>
        <v>0</v>
      </c>
      <c r="J800" s="161">
        <f ca="1">IFERROR(__xludf.DUMMYFUNCTION("IMPORTRANGE(""https://docs.google.com/spreadsheets/d/1MaWodYyGHDf7siQLGxnXhG4mBNTNIuy296niS2xXulU/edit?usp=sharing"",""RTK!H60"")"),0)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</row>
    <row r="801" spans="1:26" ht="19" hidden="1">
      <c r="A801" s="568"/>
      <c r="B801" s="569"/>
      <c r="C801" s="569"/>
      <c r="D801" s="56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IFERROR(__xludf.DUMMYFUNCTION("IMPORTRANGE(""https://docs.google.com/spreadsheets/d/1MaWodYyGHDf7siQLGxnXhG4mBNTNIuy296niS2xXulU/edit?usp=sharing"",""RTK!I60"")"),0)</f>
        <v>0</v>
      </c>
      <c r="K801" s="38"/>
      <c r="L801" s="38"/>
      <c r="M801" s="38"/>
      <c r="N801" s="38"/>
      <c r="O801" s="162"/>
      <c r="P801" s="162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</row>
    <row r="802" spans="1:26" ht="19" hidden="1">
      <c r="A802" s="574"/>
      <c r="B802" s="575"/>
      <c r="C802" s="575"/>
      <c r="D802" s="575"/>
      <c r="E802" s="563"/>
      <c r="F802" s="563" t="s">
        <v>322</v>
      </c>
      <c r="G802" s="351"/>
      <c r="H802" s="604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</row>
    <row r="803" spans="1:26" ht="19" hidden="1">
      <c r="A803" s="574"/>
      <c r="B803" s="575"/>
      <c r="C803" s="575"/>
      <c r="D803" s="575"/>
      <c r="E803" s="563"/>
      <c r="F803" s="563"/>
      <c r="G803" s="351"/>
      <c r="H803" s="604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</row>
    <row r="804" spans="1:26" ht="19" hidden="1">
      <c r="A804" s="725">
        <v>13</v>
      </c>
      <c r="B804" s="726" t="s">
        <v>323</v>
      </c>
      <c r="C804" s="727"/>
      <c r="D804" s="757"/>
      <c r="E804" s="727"/>
      <c r="F804" s="727"/>
      <c r="G804" s="728"/>
      <c r="H804" s="729" t="s">
        <v>46</v>
      </c>
      <c r="I804" s="730"/>
      <c r="J804" s="730">
        <f>J819</f>
        <v>0</v>
      </c>
      <c r="K804" s="731">
        <f>IF(I804&gt;0,J804*100/I804,0)</f>
        <v>0</v>
      </c>
      <c r="L804" s="732"/>
      <c r="M804" s="732"/>
      <c r="N804" s="732"/>
      <c r="O804" s="732"/>
      <c r="P804" s="732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</row>
    <row r="805" spans="1:26" ht="19" hidden="1">
      <c r="A805" s="561"/>
      <c r="B805" s="562"/>
      <c r="C805" s="562" t="s">
        <v>16</v>
      </c>
      <c r="D805" s="795" t="s">
        <v>17</v>
      </c>
      <c r="E805" s="788"/>
      <c r="F805" s="788"/>
      <c r="G805" s="564"/>
      <c r="H805" s="597" t="s">
        <v>12</v>
      </c>
      <c r="I805" s="44"/>
      <c r="J805" s="44"/>
      <c r="K805" s="45"/>
      <c r="L805" s="598">
        <f t="shared" ref="L805:N805" si="326">L806+L807</f>
        <v>0</v>
      </c>
      <c r="M805" s="598">
        <f t="shared" si="326"/>
        <v>0</v>
      </c>
      <c r="N805" s="598">
        <f t="shared" si="326"/>
        <v>0</v>
      </c>
      <c r="O805" s="598">
        <f t="shared" ref="O805:O810" si="327">IF(L805&gt;0,N805*100/L805,0)</f>
        <v>0</v>
      </c>
      <c r="P805" s="598">
        <f t="shared" ref="P805:P810" si="328">IF(M805&gt;0,N805*100/M805,0)</f>
        <v>0</v>
      </c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</row>
    <row r="806" spans="1:26" ht="19" hidden="1">
      <c r="A806" s="561"/>
      <c r="B806" s="562"/>
      <c r="C806" s="562"/>
      <c r="D806" s="575"/>
      <c r="E806" s="562" t="s">
        <v>185</v>
      </c>
      <c r="F806" s="562"/>
      <c r="G806" s="56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</row>
    <row r="807" spans="1:26" ht="19" hidden="1">
      <c r="A807" s="561"/>
      <c r="B807" s="562"/>
      <c r="C807" s="562"/>
      <c r="D807" s="575"/>
      <c r="E807" s="562" t="s">
        <v>186</v>
      </c>
      <c r="F807" s="562"/>
      <c r="G807" s="56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</row>
    <row r="808" spans="1:26" ht="19" hidden="1">
      <c r="A808" s="561"/>
      <c r="B808" s="566"/>
      <c r="C808" s="562"/>
      <c r="D808" s="828" t="s">
        <v>20</v>
      </c>
      <c r="E808" s="788"/>
      <c r="F808" s="788"/>
      <c r="G808" s="564"/>
      <c r="H808" s="597" t="s">
        <v>12</v>
      </c>
      <c r="I808" s="165"/>
      <c r="J808" s="165"/>
      <c r="K808" s="166"/>
      <c r="L808" s="598">
        <f t="shared" ref="L808:N808" si="330">L809+L810</f>
        <v>0</v>
      </c>
      <c r="M808" s="598">
        <f t="shared" si="330"/>
        <v>0</v>
      </c>
      <c r="N808" s="598">
        <f t="shared" si="330"/>
        <v>0</v>
      </c>
      <c r="O808" s="598">
        <f t="shared" si="327"/>
        <v>0</v>
      </c>
      <c r="P808" s="598">
        <f t="shared" si="328"/>
        <v>0</v>
      </c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</row>
    <row r="809" spans="1:26" ht="19" hidden="1">
      <c r="A809" s="561"/>
      <c r="B809" s="562"/>
      <c r="C809" s="562"/>
      <c r="D809" s="575"/>
      <c r="E809" s="562" t="s">
        <v>185</v>
      </c>
      <c r="F809" s="562"/>
      <c r="G809" s="56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</row>
    <row r="810" spans="1:26" ht="19" hidden="1">
      <c r="A810" s="561"/>
      <c r="B810" s="562"/>
      <c r="C810" s="562"/>
      <c r="D810" s="575"/>
      <c r="E810" s="562" t="s">
        <v>186</v>
      </c>
      <c r="F810" s="562"/>
      <c r="G810" s="56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</row>
    <row r="811" spans="1:26" ht="19" hidden="1">
      <c r="A811" s="600"/>
      <c r="B811" s="566"/>
      <c r="C811" s="562"/>
      <c r="D811" s="566"/>
      <c r="E811" s="562"/>
      <c r="F811" s="562" t="s">
        <v>187</v>
      </c>
      <c r="G811" s="56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</row>
    <row r="812" spans="1:26" ht="19" hidden="1">
      <c r="A812" s="600"/>
      <c r="B812" s="566"/>
      <c r="C812" s="562"/>
      <c r="D812" s="566"/>
      <c r="E812" s="562"/>
      <c r="F812" s="562" t="s">
        <v>188</v>
      </c>
      <c r="G812" s="56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</row>
    <row r="813" spans="1:26" ht="19" hidden="1">
      <c r="A813" s="600"/>
      <c r="B813" s="566"/>
      <c r="C813" s="562"/>
      <c r="D813" s="566"/>
      <c r="E813" s="562"/>
      <c r="F813" s="562" t="s">
        <v>189</v>
      </c>
      <c r="G813" s="56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</row>
    <row r="814" spans="1:26" ht="19" hidden="1">
      <c r="A814" s="600"/>
      <c r="B814" s="566"/>
      <c r="C814" s="562"/>
      <c r="D814" s="566"/>
      <c r="E814" s="562"/>
      <c r="F814" s="562" t="s">
        <v>190</v>
      </c>
      <c r="G814" s="56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</row>
    <row r="815" spans="1:26" ht="19" hidden="1">
      <c r="A815" s="561"/>
      <c r="B815" s="566"/>
      <c r="C815" s="562"/>
      <c r="D815" s="828" t="s">
        <v>21</v>
      </c>
      <c r="E815" s="788"/>
      <c r="F815" s="788"/>
      <c r="G815" s="564"/>
      <c r="H815" s="715" t="s">
        <v>12</v>
      </c>
      <c r="I815" s="165"/>
      <c r="J815" s="165"/>
      <c r="K815" s="166"/>
      <c r="L815" s="598">
        <f t="shared" ref="L815:N815" si="331">L816+L817</f>
        <v>0</v>
      </c>
      <c r="M815" s="598">
        <f t="shared" si="331"/>
        <v>0</v>
      </c>
      <c r="N815" s="598">
        <f t="shared" si="331"/>
        <v>0</v>
      </c>
      <c r="O815" s="598">
        <f t="shared" ref="O815:O817" si="332">IF(L815&gt;0,N815*100/L815,0)</f>
        <v>0</v>
      </c>
      <c r="P815" s="598">
        <f t="shared" ref="P815:P817" si="333">IF(M815&gt;0,N815*100/M815,0)</f>
        <v>0</v>
      </c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</row>
    <row r="816" spans="1:26" ht="19" hidden="1">
      <c r="A816" s="561"/>
      <c r="B816" s="566"/>
      <c r="C816" s="562"/>
      <c r="D816" s="566"/>
      <c r="E816" s="562" t="s">
        <v>18</v>
      </c>
      <c r="F816" s="562"/>
      <c r="G816" s="56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</row>
    <row r="817" spans="1:26" ht="19" hidden="1">
      <c r="A817" s="561"/>
      <c r="B817" s="566"/>
      <c r="C817" s="562"/>
      <c r="D817" s="566"/>
      <c r="E817" s="562" t="s">
        <v>19</v>
      </c>
      <c r="F817" s="562"/>
      <c r="G817" s="56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</row>
    <row r="818" spans="1:26" ht="19" hidden="1">
      <c r="A818" s="574"/>
      <c r="B818" s="575"/>
      <c r="C818" s="562" t="s">
        <v>16</v>
      </c>
      <c r="D818" s="829" t="s">
        <v>38</v>
      </c>
      <c r="E818" s="602"/>
      <c r="F818" s="602"/>
      <c r="G818" s="603"/>
      <c r="H818" s="351"/>
      <c r="I818" s="165"/>
      <c r="J818" s="165"/>
      <c r="K818" s="166"/>
      <c r="L818" s="166"/>
      <c r="M818" s="166"/>
      <c r="N818" s="166"/>
      <c r="O818" s="166"/>
      <c r="P818" s="166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</row>
    <row r="819" spans="1:26" ht="19.5" hidden="1" thickBot="1">
      <c r="A819" s="759"/>
      <c r="B819" s="760"/>
      <c r="C819" s="761"/>
      <c r="D819" s="760"/>
      <c r="E819" s="761" t="s">
        <v>324</v>
      </c>
      <c r="F819" s="761"/>
      <c r="G819" s="762"/>
      <c r="H819" s="763" t="s">
        <v>46</v>
      </c>
      <c r="I819" s="764"/>
      <c r="J819" s="764"/>
      <c r="K819" s="765"/>
      <c r="L819" s="765"/>
      <c r="M819" s="765"/>
      <c r="N819" s="765"/>
      <c r="O819" s="765"/>
      <c r="P819" s="7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</row>
    <row r="820" spans="1:26" ht="19">
      <c r="A820" s="766" t="s">
        <v>332</v>
      </c>
      <c r="B820" s="767"/>
      <c r="C820" s="767"/>
      <c r="D820" s="768"/>
      <c r="E820" s="767"/>
      <c r="F820" s="767"/>
      <c r="G820" s="769"/>
      <c r="H820" s="77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771"/>
      <c r="J820" s="771"/>
      <c r="K820" s="772"/>
      <c r="L820" s="772"/>
      <c r="M820" s="772"/>
      <c r="N820" s="772"/>
      <c r="O820" s="772"/>
      <c r="P820" s="772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</row>
    <row r="821" spans="1:26" ht="19">
      <c r="A821" s="686"/>
      <c r="B821" s="539" t="s">
        <v>326</v>
      </c>
      <c r="C821" s="539"/>
      <c r="D821" s="538"/>
      <c r="E821" s="539"/>
      <c r="F821" s="539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37">
        <f ca="1">IFERROR(__xludf.DUMMYFUNCTION("IMPORTRANGE(""https://docs.google.com/spreadsheets/d/19vJNZY_5yjcGF2XGBMNZRCAIB0Kwfpjp8YEOfu-bneM/edit?usp=sharing"",""งานกองทุน!F60"")"),2445225.08)</f>
        <v>2445225.08</v>
      </c>
      <c r="K821" s="38">
        <f t="shared" ref="K821:K828" ca="1" si="334">IF(I821&gt;0,J821*100/I821,0)</f>
        <v>82.739046623363691</v>
      </c>
      <c r="L821" s="38"/>
      <c r="M821" s="38"/>
      <c r="N821" s="38"/>
      <c r="O821" s="38"/>
      <c r="P821" s="38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</row>
    <row r="822" spans="1:26" ht="19">
      <c r="A822" s="686"/>
      <c r="B822" s="539"/>
      <c r="C822" s="539"/>
      <c r="D822" s="538"/>
      <c r="E822" s="539"/>
      <c r="F822" s="539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IFERROR(__xludf.DUMMYFUNCTION("IMPORTRANGE(""https://docs.google.com/spreadsheets/d/19vJNZY_5yjcGF2XGBMNZRCAIB0Kwfpjp8YEOfu-bneM/edit?usp=sharing"",""งานกองทุน!C60"")"),67)</f>
        <v>67</v>
      </c>
      <c r="J822" s="37">
        <f ca="1">IFERROR(__xludf.DUMMYFUNCTION("IMPORTRANGE(""https://docs.google.com/spreadsheets/d/19vJNZY_5yjcGF2XGBMNZRCAIB0Kwfpjp8YEOfu-bneM/edit?usp=sharing"",""งานกองทุน!E60"")"),63)</f>
        <v>63</v>
      </c>
      <c r="K822" s="38">
        <f t="shared" ca="1" si="334"/>
        <v>94.02985074626865</v>
      </c>
      <c r="L822" s="38"/>
      <c r="M822" s="38"/>
      <c r="N822" s="38"/>
      <c r="O822" s="38"/>
      <c r="P822" s="38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</row>
    <row r="823" spans="1:26" ht="19">
      <c r="A823" s="686"/>
      <c r="B823" s="539" t="s">
        <v>327</v>
      </c>
      <c r="C823" s="539"/>
      <c r="D823" s="538"/>
      <c r="E823" s="539"/>
      <c r="F823" s="539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37">
        <f ca="1">IFERROR(__xludf.DUMMYFUNCTION("IMPORTRANGE(""https://docs.google.com/spreadsheets/d/19vJNZY_5yjcGF2XGBMNZRCAIB0Kwfpjp8YEOfu-bneM/edit?usp=sharing"",""งานกองทุน!K60"")"),287238.56)</f>
        <v>287238.56</v>
      </c>
      <c r="K823" s="38">
        <f t="shared" ca="1" si="334"/>
        <v>56.325298623723533</v>
      </c>
      <c r="L823" s="38"/>
      <c r="M823" s="38"/>
      <c r="N823" s="38"/>
      <c r="O823" s="38"/>
      <c r="P823" s="38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</row>
    <row r="824" spans="1:26" ht="19">
      <c r="A824" s="686"/>
      <c r="B824" s="539"/>
      <c r="C824" s="539"/>
      <c r="D824" s="538"/>
      <c r="E824" s="539"/>
      <c r="F824" s="539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IFERROR(__xludf.DUMMYFUNCTION("IMPORTRANGE(""https://docs.google.com/spreadsheets/d/19vJNZY_5yjcGF2XGBMNZRCAIB0Kwfpjp8YEOfu-bneM/edit?usp=sharing"",""งานกองทุน!H60"")"),22)</f>
        <v>22</v>
      </c>
      <c r="J824" s="37">
        <f ca="1">IFERROR(__xludf.DUMMYFUNCTION("IMPORTRANGE(""https://docs.google.com/spreadsheets/d/19vJNZY_5yjcGF2XGBMNZRCAIB0Kwfpjp8YEOfu-bneM/edit?usp=sharing"",""งานกองทุน!J60"")"),22)</f>
        <v>22</v>
      </c>
      <c r="K824" s="38">
        <f t="shared" ca="1" si="334"/>
        <v>100</v>
      </c>
      <c r="L824" s="38"/>
      <c r="M824" s="38"/>
      <c r="N824" s="38"/>
      <c r="O824" s="38"/>
      <c r="P824" s="38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</row>
    <row r="825" spans="1:26" ht="19">
      <c r="A825" s="686"/>
      <c r="B825" s="539" t="s">
        <v>328</v>
      </c>
      <c r="C825" s="539"/>
      <c r="D825" s="538"/>
      <c r="E825" s="539"/>
      <c r="F825" s="539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37">
        <f ca="1">IFERROR(__xludf.DUMMYFUNCTION("IMPORTRANGE(""https://docs.google.com/spreadsheets/d/19vJNZY_5yjcGF2XGBMNZRCAIB0Kwfpjp8YEOfu-bneM/edit?usp=sharing"",""งานกองทุน!P60"")"),330483.41)</f>
        <v>330483.40999999997</v>
      </c>
      <c r="K825" s="38">
        <f t="shared" ca="1" si="334"/>
        <v>67.577635059916446</v>
      </c>
      <c r="L825" s="38"/>
      <c r="M825" s="38"/>
      <c r="N825" s="38"/>
      <c r="O825" s="38"/>
      <c r="P825" s="38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</row>
    <row r="826" spans="1:26" ht="19">
      <c r="A826" s="686"/>
      <c r="B826" s="539"/>
      <c r="C826" s="539"/>
      <c r="D826" s="538"/>
      <c r="E826" s="539"/>
      <c r="F826" s="539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IFERROR(__xludf.DUMMYFUNCTION("IMPORTRANGE(""https://docs.google.com/spreadsheets/d/19vJNZY_5yjcGF2XGBMNZRCAIB0Kwfpjp8YEOfu-bneM/edit?usp=sharing"",""งานกองทุน!M60"")"),259)</f>
        <v>259</v>
      </c>
      <c r="J826" s="37">
        <f ca="1">IFERROR(__xludf.DUMMYFUNCTION("IMPORTRANGE(""https://docs.google.com/spreadsheets/d/19vJNZY_5yjcGF2XGBMNZRCAIB0Kwfpjp8YEOfu-bneM/edit?usp=sharing"",""งานกองทุน!O60"")"),229)</f>
        <v>229</v>
      </c>
      <c r="K826" s="38">
        <f t="shared" ca="1" si="334"/>
        <v>88.416988416988417</v>
      </c>
      <c r="L826" s="38"/>
      <c r="M826" s="38"/>
      <c r="N826" s="38"/>
      <c r="O826" s="38"/>
      <c r="P826" s="38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</row>
    <row r="827" spans="1:26" ht="19">
      <c r="A827" s="686"/>
      <c r="B827" s="539" t="s">
        <v>329</v>
      </c>
      <c r="C827" s="539"/>
      <c r="D827" s="538"/>
      <c r="E827" s="539"/>
      <c r="F827" s="539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IFERROR(__xludf.DUMMYFUNCTION("IMPORTRANGE(""https://docs.google.com/spreadsheets/d/19vJNZY_5yjcGF2XGBMNZRCAIB0Kwfpjp8YEOfu-bneM/edit?usp=sharing"",""งานกองทุน!S60"")"),3060000)</f>
        <v>3060000</v>
      </c>
      <c r="J827" s="37">
        <f ca="1">IFERROR(__xludf.DUMMYFUNCTION("IMPORTRANGE(""https://docs.google.com/spreadsheets/d/19vJNZY_5yjcGF2XGBMNZRCAIB0Kwfpjp8YEOfu-bneM/edit?usp=sharing"",""งานกองทุน!U60"")"),2310000)</f>
        <v>2310000</v>
      </c>
      <c r="K827" s="38">
        <f t="shared" ca="1" si="334"/>
        <v>75.490196078431367</v>
      </c>
      <c r="L827" s="38"/>
      <c r="M827" s="38"/>
      <c r="N827" s="38"/>
      <c r="O827" s="38"/>
      <c r="P827" s="38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</row>
    <row r="828" spans="1:26" ht="19">
      <c r="A828" s="687"/>
      <c r="B828" s="689"/>
      <c r="C828" s="689"/>
      <c r="D828" s="688"/>
      <c r="E828" s="689"/>
      <c r="F828" s="689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IFERROR(__xludf.DUMMYFUNCTION("IMPORTRANGE(""https://docs.google.com/spreadsheets/d/19vJNZY_5yjcGF2XGBMNZRCAIB0Kwfpjp8YEOfu-bneM/edit?usp=sharing"",""งานกองทุน!R60"")"),99)</f>
        <v>99</v>
      </c>
      <c r="J828" s="365">
        <f ca="1">IFERROR(__xludf.DUMMYFUNCTION("IMPORTRANGE(""https://docs.google.com/spreadsheets/d/19vJNZY_5yjcGF2XGBMNZRCAIB0Kwfpjp8YEOfu-bneM/edit?usp=sharing"",""งานกองทุน!T60"")"),48)</f>
        <v>48</v>
      </c>
      <c r="K828" s="472">
        <f t="shared" ca="1" si="334"/>
        <v>48.484848484848484</v>
      </c>
      <c r="L828" s="472"/>
      <c r="M828" s="472"/>
      <c r="N828" s="472"/>
      <c r="O828" s="472"/>
      <c r="P828" s="472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เพชรบุรี!Print_Area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dcterms:modified xsi:type="dcterms:W3CDTF">2023-08-05T17:21:47Z</dcterms:modified>
</cp:coreProperties>
</file>